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5" yWindow="15" windowWidth="16185" windowHeight="15510" tabRatio="766"/>
  </bookViews>
  <sheets>
    <sheet name="dochody" sheetId="93" r:id="rId1"/>
    <sheet name="wydatki" sheetId="94" r:id="rId2"/>
    <sheet name="Tabela nr 3" sheetId="100" r:id="rId3"/>
    <sheet name="Załącznik Nr 1" sheetId="87" r:id="rId4"/>
    <sheet name="Załącznik Nr 2" sheetId="95" r:id="rId5"/>
    <sheet name="Załącznik Nr 3" sheetId="85" r:id="rId6"/>
    <sheet name="Załącznik Nr 4" sheetId="96" r:id="rId7"/>
    <sheet name="Załącznik Nr 5" sheetId="86" r:id="rId8"/>
    <sheet name="Załącznik Nr 6" sheetId="97" r:id="rId9"/>
    <sheet name="Załącznik Nr 7" sheetId="98" r:id="rId10"/>
    <sheet name=" Załącznik Nr 8" sheetId="101" r:id="rId11"/>
    <sheet name="Załącznik Nr 9" sheetId="102" r:id="rId12"/>
    <sheet name=" Załącznik Nr 10" sheetId="103" r:id="rId13"/>
    <sheet name="Zał Nr 11 adm.rząd.doch." sheetId="82" r:id="rId14"/>
    <sheet name="Zał Nr 11 adm.rzad.wyd." sheetId="83" r:id="rId15"/>
    <sheet name="Zał Nr 12" sheetId="84" r:id="rId16"/>
    <sheet name="Załącznik Nr 13" sheetId="99" r:id="rId17"/>
  </sheets>
  <definedNames>
    <definedName name="Obszar_1093uku">#REF!</definedName>
    <definedName name="_xlnm.Print_Area" localSheetId="12">' Załącznik Nr 10'!$A$1:$G$9</definedName>
    <definedName name="_xlnm.Print_Area" localSheetId="10">' Załącznik Nr 8'!$A$1:$G$29</definedName>
    <definedName name="_xlnm.Print_Area" localSheetId="0">dochody!$A$1:$L$660</definedName>
    <definedName name="_xlnm.Print_Area" localSheetId="2">'Tabela nr 3'!$A$1:$J$1518</definedName>
    <definedName name="_xlnm.Print_Area" localSheetId="1">wydatki!$A$1:$G$2613</definedName>
    <definedName name="_xlnm.Print_Area" localSheetId="14">'Zał Nr 11 adm.rzad.wyd.'!$A$1:$L$96</definedName>
    <definedName name="_xlnm.Print_Area" localSheetId="13">'Zał Nr 11 adm.rząd.doch.'!$A$1:$E$46</definedName>
    <definedName name="_xlnm.Print_Area" localSheetId="15">'Zał Nr 12'!$A$1:$G$24</definedName>
    <definedName name="_xlnm.Print_Area" localSheetId="3">'Załącznik Nr 1'!$A$1:$F$55</definedName>
    <definedName name="_xlnm.Print_Area" localSheetId="16">'Załącznik Nr 13'!$A$1:$D$26</definedName>
    <definedName name="_xlnm.Print_Area" localSheetId="4">'Załącznik Nr 2'!$A$1:$I$57</definedName>
    <definedName name="_xlnm.Print_Area" localSheetId="5">'Załącznik Nr 3'!$A$1:$H$24</definedName>
    <definedName name="_xlnm.Print_Area" localSheetId="6">'Załącznik Nr 4'!$A$1:$H$7</definedName>
    <definedName name="_xlnm.Print_Area" localSheetId="7">'Załącznik Nr 5'!$A$1:$I$13</definedName>
    <definedName name="_xlnm.Print_Area" localSheetId="8">'Załącznik Nr 6'!$A$1:$I$11</definedName>
    <definedName name="_xlnm.Print_Area" localSheetId="9">'Załącznik Nr 7'!$A$1:$K$23</definedName>
    <definedName name="_xlnm.Print_Area" localSheetId="11">'Załącznik Nr 9'!$A$1:$G$35</definedName>
    <definedName name="_xlnm.Print_Titles" localSheetId="0">dochody!$7:$9</definedName>
    <definedName name="_xlnm.Print_Titles" localSheetId="2">'Tabela nr 3'!$5:$7</definedName>
    <definedName name="_xlnm.Print_Titles" localSheetId="1">wydatki!$7:$8</definedName>
    <definedName name="_xlnm.Print_Titles" localSheetId="14">'Zał Nr 11 adm.rzad.wyd.'!$1:$5</definedName>
    <definedName name="_xlnm.Print_Titles" localSheetId="4">'Załącznik Nr 2'!$4:$6</definedName>
    <definedName name="_xlnm.Print_Titles" localSheetId="5">'Załącznik Nr 3'!$3:$4</definedName>
    <definedName name="_xlnm.Print_Titles" localSheetId="7">'Załącznik Nr 5'!$4:$6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95" l="1"/>
  <c r="H19" i="95"/>
  <c r="F11" i="97" l="1"/>
  <c r="G11" i="97"/>
  <c r="E8" i="97"/>
  <c r="E7" i="97"/>
  <c r="E11" i="97" s="1"/>
  <c r="F7" i="97"/>
  <c r="G7" i="97"/>
  <c r="E9" i="97"/>
  <c r="E10" i="97"/>
  <c r="F9" i="97"/>
  <c r="G9" i="97"/>
  <c r="K1638" i="94"/>
  <c r="AA384" i="94"/>
  <c r="F11" i="83" l="1"/>
  <c r="E11" i="83" s="1"/>
  <c r="G11" i="83"/>
  <c r="AA904" i="94" l="1"/>
  <c r="F9" i="103" l="1"/>
  <c r="E9" i="103"/>
  <c r="D8" i="103"/>
  <c r="D7" i="103"/>
  <c r="D9" i="103" s="1"/>
  <c r="F35" i="102"/>
  <c r="E35" i="102"/>
  <c r="D34" i="102"/>
  <c r="D33" i="102"/>
  <c r="D32" i="102"/>
  <c r="D31" i="102"/>
  <c r="D30" i="102"/>
  <c r="D29" i="102"/>
  <c r="D35" i="102" s="1"/>
  <c r="F24" i="102"/>
  <c r="E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D7" i="102"/>
  <c r="F29" i="101"/>
  <c r="E29" i="101"/>
  <c r="D28" i="101"/>
  <c r="D27" i="101"/>
  <c r="D26" i="101"/>
  <c r="D25" i="101"/>
  <c r="D24" i="101"/>
  <c r="D23" i="101"/>
  <c r="D22" i="101"/>
  <c r="D21" i="101"/>
  <c r="D20" i="101"/>
  <c r="F15" i="101"/>
  <c r="E15" i="101"/>
  <c r="D14" i="101"/>
  <c r="D13" i="101"/>
  <c r="D12" i="101"/>
  <c r="D11" i="101"/>
  <c r="D10" i="101"/>
  <c r="D9" i="101"/>
  <c r="D8" i="101"/>
  <c r="D7" i="101"/>
  <c r="D15" i="101" s="1"/>
  <c r="F1517" i="100"/>
  <c r="F1516" i="100"/>
  <c r="F1515" i="100" s="1"/>
  <c r="J1515" i="100"/>
  <c r="I1515" i="100"/>
  <c r="H1515" i="100"/>
  <c r="G1515" i="100"/>
  <c r="F1514" i="100"/>
  <c r="F1513" i="100"/>
  <c r="F1512" i="100"/>
  <c r="F1511" i="100"/>
  <c r="F1510" i="100"/>
  <c r="F1509" i="100"/>
  <c r="F1508" i="100"/>
  <c r="F1507" i="100"/>
  <c r="F1506" i="100"/>
  <c r="F1505" i="100"/>
  <c r="F1504" i="100" s="1"/>
  <c r="J1504" i="100"/>
  <c r="I1504" i="100"/>
  <c r="H1504" i="100"/>
  <c r="G1504" i="100"/>
  <c r="F1503" i="100"/>
  <c r="F1502" i="100"/>
  <c r="F1501" i="100"/>
  <c r="F1500" i="100"/>
  <c r="F1499" i="100"/>
  <c r="F1498" i="100"/>
  <c r="J1497" i="100"/>
  <c r="I1497" i="100"/>
  <c r="I1493" i="100" s="1"/>
  <c r="H1497" i="100"/>
  <c r="G1497" i="100"/>
  <c r="F1496" i="100"/>
  <c r="F1495" i="100"/>
  <c r="J1494" i="100"/>
  <c r="I1494" i="100"/>
  <c r="H1494" i="100"/>
  <c r="H1493" i="100" s="1"/>
  <c r="H1492" i="100" s="1"/>
  <c r="G1494" i="100"/>
  <c r="F1491" i="100"/>
  <c r="F1489" i="100" s="1"/>
  <c r="F1490" i="100"/>
  <c r="J1489" i="100"/>
  <c r="I1489" i="100"/>
  <c r="H1489" i="100"/>
  <c r="G1489" i="100"/>
  <c r="F1488" i="100"/>
  <c r="F1487" i="100"/>
  <c r="F1486" i="100"/>
  <c r="F1485" i="100"/>
  <c r="F1484" i="100"/>
  <c r="F1483" i="100"/>
  <c r="F1482" i="100"/>
  <c r="F1481" i="100"/>
  <c r="F1480" i="100"/>
  <c r="F1479" i="100"/>
  <c r="J1478" i="100"/>
  <c r="I1478" i="100"/>
  <c r="H1478" i="100"/>
  <c r="H1467" i="100" s="1"/>
  <c r="H1466" i="100" s="1"/>
  <c r="G1478" i="100"/>
  <c r="F1477" i="100"/>
  <c r="F1476" i="100"/>
  <c r="F1475" i="100"/>
  <c r="F1474" i="100"/>
  <c r="F1473" i="100"/>
  <c r="F1472" i="100"/>
  <c r="J1471" i="100"/>
  <c r="J1467" i="100" s="1"/>
  <c r="J1466" i="100" s="1"/>
  <c r="I1471" i="100"/>
  <c r="H1471" i="100"/>
  <c r="G1471" i="100"/>
  <c r="F1471" i="100"/>
  <c r="F1470" i="100"/>
  <c r="F1468" i="100" s="1"/>
  <c r="F1469" i="100"/>
  <c r="J1468" i="100"/>
  <c r="I1468" i="100"/>
  <c r="I1467" i="100" s="1"/>
  <c r="I1466" i="100" s="1"/>
  <c r="H1468" i="100"/>
  <c r="G1468" i="100"/>
  <c r="F1465" i="100"/>
  <c r="F1463" i="100" s="1"/>
  <c r="F1464" i="100"/>
  <c r="J1463" i="100"/>
  <c r="I1463" i="100"/>
  <c r="H1463" i="100"/>
  <c r="G1463" i="100"/>
  <c r="F1462" i="100"/>
  <c r="F1461" i="100"/>
  <c r="F1460" i="100"/>
  <c r="F1459" i="100"/>
  <c r="F1458" i="100"/>
  <c r="F1457" i="100"/>
  <c r="F1456" i="100"/>
  <c r="F1455" i="100"/>
  <c r="J1454" i="100"/>
  <c r="I1454" i="100"/>
  <c r="H1454" i="100"/>
  <c r="G1454" i="100"/>
  <c r="F1453" i="100"/>
  <c r="F1452" i="100"/>
  <c r="F1451" i="100"/>
  <c r="F1450" i="100"/>
  <c r="F1449" i="100"/>
  <c r="F1448" i="100"/>
  <c r="F1447" i="100"/>
  <c r="F1446" i="100"/>
  <c r="F1445" i="100"/>
  <c r="F1444" i="100"/>
  <c r="J1443" i="100"/>
  <c r="I1443" i="100"/>
  <c r="H1443" i="100"/>
  <c r="G1443" i="100"/>
  <c r="F1442" i="100"/>
  <c r="F1441" i="100"/>
  <c r="J1440" i="100"/>
  <c r="J1439" i="100" s="1"/>
  <c r="I1440" i="100"/>
  <c r="I1439" i="100" s="1"/>
  <c r="H1440" i="100"/>
  <c r="G1440" i="100"/>
  <c r="G1439" i="100" s="1"/>
  <c r="G1438" i="100" s="1"/>
  <c r="G1436" i="100" s="1"/>
  <c r="F1440" i="100"/>
  <c r="F1435" i="100"/>
  <c r="F1434" i="100"/>
  <c r="F1433" i="100" s="1"/>
  <c r="J1433" i="100"/>
  <c r="I1433" i="100"/>
  <c r="H1433" i="100"/>
  <c r="G1433" i="100"/>
  <c r="F1432" i="100"/>
  <c r="F1431" i="100"/>
  <c r="F1430" i="100"/>
  <c r="J1429" i="100"/>
  <c r="I1429" i="100"/>
  <c r="H1429" i="100"/>
  <c r="G1429" i="100"/>
  <c r="F1428" i="100"/>
  <c r="F1427" i="100"/>
  <c r="F1426" i="100"/>
  <c r="F1425" i="100"/>
  <c r="F1424" i="100"/>
  <c r="F1423" i="100"/>
  <c r="F1422" i="100"/>
  <c r="F1421" i="100"/>
  <c r="J1420" i="100"/>
  <c r="J1416" i="100" s="1"/>
  <c r="J1415" i="100" s="1"/>
  <c r="I1420" i="100"/>
  <c r="I1416" i="100" s="1"/>
  <c r="H1420" i="100"/>
  <c r="G1420" i="100"/>
  <c r="F1419" i="100"/>
  <c r="F1418" i="100"/>
  <c r="J1417" i="100"/>
  <c r="I1417" i="100"/>
  <c r="H1417" i="100"/>
  <c r="G1417" i="100"/>
  <c r="G1416" i="100" s="1"/>
  <c r="I1415" i="100"/>
  <c r="F1414" i="100"/>
  <c r="F1413" i="100"/>
  <c r="F1412" i="100"/>
  <c r="F1411" i="100"/>
  <c r="F1410" i="100" s="1"/>
  <c r="J1410" i="100"/>
  <c r="I1410" i="100"/>
  <c r="H1410" i="100"/>
  <c r="G1410" i="100"/>
  <c r="F1409" i="100"/>
  <c r="F1408" i="100"/>
  <c r="F1407" i="100"/>
  <c r="F1406" i="100"/>
  <c r="J1405" i="100"/>
  <c r="I1405" i="100"/>
  <c r="H1405" i="100"/>
  <c r="G1405" i="100"/>
  <c r="F1404" i="100"/>
  <c r="F1403" i="100"/>
  <c r="F1402" i="100"/>
  <c r="F1401" i="100"/>
  <c r="F1400" i="100"/>
  <c r="F1399" i="100"/>
  <c r="J1398" i="100"/>
  <c r="I1398" i="100"/>
  <c r="H1398" i="100"/>
  <c r="G1398" i="100"/>
  <c r="F1397" i="100"/>
  <c r="F1396" i="100"/>
  <c r="F1395" i="100"/>
  <c r="F1394" i="100"/>
  <c r="J1393" i="100"/>
  <c r="I1393" i="100"/>
  <c r="H1393" i="100"/>
  <c r="G1393" i="100"/>
  <c r="I1392" i="100"/>
  <c r="I1391" i="100" s="1"/>
  <c r="F1390" i="100"/>
  <c r="F1389" i="100"/>
  <c r="J1388" i="100"/>
  <c r="I1388" i="100"/>
  <c r="H1388" i="100"/>
  <c r="G1388" i="100"/>
  <c r="F1387" i="100"/>
  <c r="F1386" i="100"/>
  <c r="F1385" i="100"/>
  <c r="F1384" i="100"/>
  <c r="F1383" i="100"/>
  <c r="F1382" i="100"/>
  <c r="F1381" i="100"/>
  <c r="F1380" i="100"/>
  <c r="F1379" i="100" s="1"/>
  <c r="J1379" i="100"/>
  <c r="I1379" i="100"/>
  <c r="H1379" i="100"/>
  <c r="G1379" i="100"/>
  <c r="F1378" i="100"/>
  <c r="F1377" i="100"/>
  <c r="F1376" i="100"/>
  <c r="F1375" i="100"/>
  <c r="F1374" i="100"/>
  <c r="F1373" i="100"/>
  <c r="F1372" i="100"/>
  <c r="F1371" i="100"/>
  <c r="F1370" i="100"/>
  <c r="F1369" i="100"/>
  <c r="J1368" i="100"/>
  <c r="I1368" i="100"/>
  <c r="H1368" i="100"/>
  <c r="G1368" i="100"/>
  <c r="F1367" i="100"/>
  <c r="F1366" i="100"/>
  <c r="J1365" i="100"/>
  <c r="I1365" i="100"/>
  <c r="I1364" i="100" s="1"/>
  <c r="H1365" i="100"/>
  <c r="H1364" i="100" s="1"/>
  <c r="H1363" i="100" s="1"/>
  <c r="G1365" i="100"/>
  <c r="I1363" i="100"/>
  <c r="F1362" i="100"/>
  <c r="F1360" i="100" s="1"/>
  <c r="F1361" i="100"/>
  <c r="J1360" i="100"/>
  <c r="I1360" i="100"/>
  <c r="H1360" i="100"/>
  <c r="G1360" i="100"/>
  <c r="F1359" i="100"/>
  <c r="F1358" i="100"/>
  <c r="F1357" i="100"/>
  <c r="F1356" i="100"/>
  <c r="F1355" i="100"/>
  <c r="F1354" i="100"/>
  <c r="F1353" i="100"/>
  <c r="F1352" i="100"/>
  <c r="F1351" i="100"/>
  <c r="F1350" i="100"/>
  <c r="F1349" i="100"/>
  <c r="F1348" i="100"/>
  <c r="F1347" i="100"/>
  <c r="F1346" i="100"/>
  <c r="F1345" i="100"/>
  <c r="F1344" i="100"/>
  <c r="F1343" i="100"/>
  <c r="F1342" i="100"/>
  <c r="F1341" i="100"/>
  <c r="F1340" i="100"/>
  <c r="F1339" i="100"/>
  <c r="F1338" i="100"/>
  <c r="F1337" i="100"/>
  <c r="F1336" i="100"/>
  <c r="J1335" i="100"/>
  <c r="I1335" i="100"/>
  <c r="H1335" i="100"/>
  <c r="G1335" i="100"/>
  <c r="F1334" i="100"/>
  <c r="F1333" i="100"/>
  <c r="F1332" i="100"/>
  <c r="F1331" i="100"/>
  <c r="F1330" i="100"/>
  <c r="F1329" i="100"/>
  <c r="F1328" i="100"/>
  <c r="F1327" i="100"/>
  <c r="F1326" i="100"/>
  <c r="F1325" i="100"/>
  <c r="F1324" i="100"/>
  <c r="F1323" i="100"/>
  <c r="J1322" i="100"/>
  <c r="J1318" i="100" s="1"/>
  <c r="J1317" i="100" s="1"/>
  <c r="I1322" i="100"/>
  <c r="H1322" i="100"/>
  <c r="G1322" i="100"/>
  <c r="F1321" i="100"/>
  <c r="F1320" i="100"/>
  <c r="F1319" i="100" s="1"/>
  <c r="J1319" i="100"/>
  <c r="I1319" i="100"/>
  <c r="H1319" i="100"/>
  <c r="H1318" i="100" s="1"/>
  <c r="G1319" i="100"/>
  <c r="G1318" i="100"/>
  <c r="G1317" i="100" s="1"/>
  <c r="F1316" i="100"/>
  <c r="F1315" i="100"/>
  <c r="J1314" i="100"/>
  <c r="I1314" i="100"/>
  <c r="H1314" i="100"/>
  <c r="G1314" i="100"/>
  <c r="F1314" i="100"/>
  <c r="F1313" i="100"/>
  <c r="F1312" i="100"/>
  <c r="F1311" i="100"/>
  <c r="F1310" i="100"/>
  <c r="F1309" i="100"/>
  <c r="F1308" i="100"/>
  <c r="J1307" i="100"/>
  <c r="I1307" i="100"/>
  <c r="I1295" i="100" s="1"/>
  <c r="I1294" i="100" s="1"/>
  <c r="H1307" i="100"/>
  <c r="G1307" i="100"/>
  <c r="F1306" i="100"/>
  <c r="F1305" i="100"/>
  <c r="F1304" i="100"/>
  <c r="F1303" i="100"/>
  <c r="F1302" i="100"/>
  <c r="F1301" i="100"/>
  <c r="F1300" i="100"/>
  <c r="F1299" i="100"/>
  <c r="J1298" i="100"/>
  <c r="J1295" i="100" s="1"/>
  <c r="J1294" i="100" s="1"/>
  <c r="I1298" i="100"/>
  <c r="H1298" i="100"/>
  <c r="G1298" i="100"/>
  <c r="F1298" i="100"/>
  <c r="F1297" i="100"/>
  <c r="F1296" i="100" s="1"/>
  <c r="J1296" i="100"/>
  <c r="I1296" i="100"/>
  <c r="H1296" i="100"/>
  <c r="H1295" i="100" s="1"/>
  <c r="H1294" i="100" s="1"/>
  <c r="G1296" i="100"/>
  <c r="F1293" i="100"/>
  <c r="F1292" i="100"/>
  <c r="F1291" i="100" s="1"/>
  <c r="J1291" i="100"/>
  <c r="I1291" i="100"/>
  <c r="H1291" i="100"/>
  <c r="G1291" i="100"/>
  <c r="F1290" i="100"/>
  <c r="F1289" i="100"/>
  <c r="F1288" i="100"/>
  <c r="F1287" i="100"/>
  <c r="F1286" i="100"/>
  <c r="J1285" i="100"/>
  <c r="J1272" i="100" s="1"/>
  <c r="J1271" i="100" s="1"/>
  <c r="I1285" i="100"/>
  <c r="H1285" i="100"/>
  <c r="G1285" i="100"/>
  <c r="F1284" i="100"/>
  <c r="F1283" i="100"/>
  <c r="F1282" i="100"/>
  <c r="F1281" i="100"/>
  <c r="F1280" i="100"/>
  <c r="F1279" i="100"/>
  <c r="F1278" i="100"/>
  <c r="F1277" i="100"/>
  <c r="F1276" i="100"/>
  <c r="F1275" i="100"/>
  <c r="F1274" i="100"/>
  <c r="J1273" i="100"/>
  <c r="I1273" i="100"/>
  <c r="H1273" i="100"/>
  <c r="G1273" i="100"/>
  <c r="I1272" i="100"/>
  <c r="I1271" i="100" s="1"/>
  <c r="H1272" i="100"/>
  <c r="F1268" i="100"/>
  <c r="F1267" i="100"/>
  <c r="F1266" i="100" s="1"/>
  <c r="J1266" i="100"/>
  <c r="I1266" i="100"/>
  <c r="H1266" i="100"/>
  <c r="G1266" i="100"/>
  <c r="F1265" i="100"/>
  <c r="F1264" i="100"/>
  <c r="F1263" i="100"/>
  <c r="F1262" i="100" s="1"/>
  <c r="J1262" i="100"/>
  <c r="I1262" i="100"/>
  <c r="H1262" i="100"/>
  <c r="G1262" i="100"/>
  <c r="F1261" i="100"/>
  <c r="F1260" i="100"/>
  <c r="F1259" i="100"/>
  <c r="F1258" i="100"/>
  <c r="F1257" i="100"/>
  <c r="F1256" i="100"/>
  <c r="F1255" i="100"/>
  <c r="F1254" i="100"/>
  <c r="F1253" i="100" s="1"/>
  <c r="J1253" i="100"/>
  <c r="I1253" i="100"/>
  <c r="H1253" i="100"/>
  <c r="H1249" i="100" s="1"/>
  <c r="H1248" i="100" s="1"/>
  <c r="G1253" i="100"/>
  <c r="F1252" i="100"/>
  <c r="F1251" i="100"/>
  <c r="F1250" i="100" s="1"/>
  <c r="F1249" i="100" s="1"/>
  <c r="J1250" i="100"/>
  <c r="J1249" i="100" s="1"/>
  <c r="J1248" i="100" s="1"/>
  <c r="I1250" i="100"/>
  <c r="I1249" i="100" s="1"/>
  <c r="I1248" i="100" s="1"/>
  <c r="H1250" i="100"/>
  <c r="G1250" i="100"/>
  <c r="G1249" i="100" s="1"/>
  <c r="F1247" i="100"/>
  <c r="F1246" i="100"/>
  <c r="F1245" i="100" s="1"/>
  <c r="J1245" i="100"/>
  <c r="I1245" i="100"/>
  <c r="H1245" i="100"/>
  <c r="G1245" i="100"/>
  <c r="F1244" i="100"/>
  <c r="F1243" i="100"/>
  <c r="J1242" i="100"/>
  <c r="J1235" i="100" s="1"/>
  <c r="J1234" i="100" s="1"/>
  <c r="I1242" i="100"/>
  <c r="H1242" i="100"/>
  <c r="G1242" i="100"/>
  <c r="F1242" i="100"/>
  <c r="F1241" i="100"/>
  <c r="F1240" i="100"/>
  <c r="J1239" i="100"/>
  <c r="I1239" i="100"/>
  <c r="I1235" i="100" s="1"/>
  <c r="I1234" i="100" s="1"/>
  <c r="H1239" i="100"/>
  <c r="G1239" i="100"/>
  <c r="F1238" i="100"/>
  <c r="F1237" i="100"/>
  <c r="J1236" i="100"/>
  <c r="I1236" i="100"/>
  <c r="H1236" i="100"/>
  <c r="G1236" i="100"/>
  <c r="G1235" i="100" s="1"/>
  <c r="F1233" i="100"/>
  <c r="F1232" i="100"/>
  <c r="J1231" i="100"/>
  <c r="I1231" i="100"/>
  <c r="H1231" i="100"/>
  <c r="G1231" i="100"/>
  <c r="F1230" i="100"/>
  <c r="F1229" i="100"/>
  <c r="F1228" i="100"/>
  <c r="F1227" i="100"/>
  <c r="F1226" i="100"/>
  <c r="F1225" i="100"/>
  <c r="F1224" i="100"/>
  <c r="F1223" i="100"/>
  <c r="F1222" i="100"/>
  <c r="F1221" i="100"/>
  <c r="F1220" i="100"/>
  <c r="F1219" i="100"/>
  <c r="F1218" i="100"/>
  <c r="F1217" i="100"/>
  <c r="F1216" i="100"/>
  <c r="F1215" i="100"/>
  <c r="F1214" i="100"/>
  <c r="F1213" i="100"/>
  <c r="F1212" i="100"/>
  <c r="F1211" i="100"/>
  <c r="F1210" i="100"/>
  <c r="F1209" i="100"/>
  <c r="F1208" i="100"/>
  <c r="F1207" i="100"/>
  <c r="F1206" i="100"/>
  <c r="F1205" i="100"/>
  <c r="J1204" i="100"/>
  <c r="I1204" i="100"/>
  <c r="H1204" i="100"/>
  <c r="G1204" i="100"/>
  <c r="F1203" i="100"/>
  <c r="F1202" i="100"/>
  <c r="F1201" i="100"/>
  <c r="F1200" i="100"/>
  <c r="F1199" i="100"/>
  <c r="F1198" i="100"/>
  <c r="F1197" i="100"/>
  <c r="F1196" i="100"/>
  <c r="F1195" i="100"/>
  <c r="F1194" i="100"/>
  <c r="F1193" i="100"/>
  <c r="F1192" i="100"/>
  <c r="J1191" i="100"/>
  <c r="I1191" i="100"/>
  <c r="I1187" i="100" s="1"/>
  <c r="I1186" i="100" s="1"/>
  <c r="H1191" i="100"/>
  <c r="H1187" i="100" s="1"/>
  <c r="H1186" i="100" s="1"/>
  <c r="G1191" i="100"/>
  <c r="F1190" i="100"/>
  <c r="F1189" i="100"/>
  <c r="F1188" i="100" s="1"/>
  <c r="J1188" i="100"/>
  <c r="I1188" i="100"/>
  <c r="H1188" i="100"/>
  <c r="G1188" i="100"/>
  <c r="G1187" i="100" s="1"/>
  <c r="G1186" i="100" s="1"/>
  <c r="J1187" i="100"/>
  <c r="J1186" i="100" s="1"/>
  <c r="F1185" i="100"/>
  <c r="F1183" i="100" s="1"/>
  <c r="F1184" i="100"/>
  <c r="J1183" i="100"/>
  <c r="I1183" i="100"/>
  <c r="H1183" i="100"/>
  <c r="G1183" i="100"/>
  <c r="F1182" i="100"/>
  <c r="F1181" i="100"/>
  <c r="F1180" i="100"/>
  <c r="F1179" i="100"/>
  <c r="F1178" i="100"/>
  <c r="F1177" i="100"/>
  <c r="F1176" i="100"/>
  <c r="F1175" i="100"/>
  <c r="F1174" i="100"/>
  <c r="F1173" i="100"/>
  <c r="F1172" i="100"/>
  <c r="F1171" i="100"/>
  <c r="F1170" i="100"/>
  <c r="F1169" i="100"/>
  <c r="F1168" i="100"/>
  <c r="F1167" i="100"/>
  <c r="F1166" i="100"/>
  <c r="F1165" i="100"/>
  <c r="F1164" i="100"/>
  <c r="F1163" i="100"/>
  <c r="F1162" i="100"/>
  <c r="F1161" i="100"/>
  <c r="F1160" i="100"/>
  <c r="F1159" i="100"/>
  <c r="F1157" i="100" s="1"/>
  <c r="F1158" i="100"/>
  <c r="J1157" i="100"/>
  <c r="I1157" i="100"/>
  <c r="H1157" i="100"/>
  <c r="G1157" i="100"/>
  <c r="F1156" i="100"/>
  <c r="F1155" i="100"/>
  <c r="F1154" i="100"/>
  <c r="F1153" i="100"/>
  <c r="F1152" i="100"/>
  <c r="F1151" i="100"/>
  <c r="F1150" i="100"/>
  <c r="F1149" i="100"/>
  <c r="F1148" i="100"/>
  <c r="F1147" i="100"/>
  <c r="F1146" i="100"/>
  <c r="F1145" i="100"/>
  <c r="J1144" i="100"/>
  <c r="I1144" i="100"/>
  <c r="H1144" i="100"/>
  <c r="G1144" i="100"/>
  <c r="F1143" i="100"/>
  <c r="F1142" i="100"/>
  <c r="J1141" i="100"/>
  <c r="I1141" i="100"/>
  <c r="I1140" i="100" s="1"/>
  <c r="H1141" i="100"/>
  <c r="H1140" i="100" s="1"/>
  <c r="G1141" i="100"/>
  <c r="G1140" i="100" s="1"/>
  <c r="G1139" i="100" s="1"/>
  <c r="F1138" i="100"/>
  <c r="F1137" i="100"/>
  <c r="F1136" i="100"/>
  <c r="F1135" i="100"/>
  <c r="F1134" i="100"/>
  <c r="F1133" i="100"/>
  <c r="F1132" i="100"/>
  <c r="J1131" i="100"/>
  <c r="I1131" i="100"/>
  <c r="H1131" i="100"/>
  <c r="G1131" i="100"/>
  <c r="F1130" i="100"/>
  <c r="F1129" i="100"/>
  <c r="F1128" i="100"/>
  <c r="F1127" i="100"/>
  <c r="F1126" i="100"/>
  <c r="F1125" i="100"/>
  <c r="F1124" i="100"/>
  <c r="F1123" i="100"/>
  <c r="F1122" i="100"/>
  <c r="F1121" i="100"/>
  <c r="F1120" i="100"/>
  <c r="F1119" i="100"/>
  <c r="F1118" i="100"/>
  <c r="F1117" i="100"/>
  <c r="F1114" i="100" s="1"/>
  <c r="F1116" i="100"/>
  <c r="F1115" i="100"/>
  <c r="J1114" i="100"/>
  <c r="I1114" i="100"/>
  <c r="I1113" i="100" s="1"/>
  <c r="H1114" i="100"/>
  <c r="G1114" i="100"/>
  <c r="J1113" i="100"/>
  <c r="G1113" i="100"/>
  <c r="F1112" i="100"/>
  <c r="F1110" i="100" s="1"/>
  <c r="F1111" i="100"/>
  <c r="J1110" i="100"/>
  <c r="I1110" i="100"/>
  <c r="H1110" i="100"/>
  <c r="G1110" i="100"/>
  <c r="F1109" i="100"/>
  <c r="F1108" i="100"/>
  <c r="F1106" i="100" s="1"/>
  <c r="F1107" i="100"/>
  <c r="J1106" i="100"/>
  <c r="J1105" i="100" s="1"/>
  <c r="I1106" i="100"/>
  <c r="H1106" i="100"/>
  <c r="G1106" i="100"/>
  <c r="H1105" i="100"/>
  <c r="G1105" i="100"/>
  <c r="F1102" i="100"/>
  <c r="F1101" i="100"/>
  <c r="F1100" i="100" s="1"/>
  <c r="J1100" i="100"/>
  <c r="I1100" i="100"/>
  <c r="H1100" i="100"/>
  <c r="G1100" i="100"/>
  <c r="F1099" i="100"/>
  <c r="F1098" i="100"/>
  <c r="F1097" i="100"/>
  <c r="J1096" i="100"/>
  <c r="I1096" i="100"/>
  <c r="H1096" i="100"/>
  <c r="G1096" i="100"/>
  <c r="F1095" i="100"/>
  <c r="F1094" i="100"/>
  <c r="F1093" i="100"/>
  <c r="F1092" i="100"/>
  <c r="F1091" i="100"/>
  <c r="F1090" i="100"/>
  <c r="F1089" i="100"/>
  <c r="F1088" i="100"/>
  <c r="J1087" i="100"/>
  <c r="I1087" i="100"/>
  <c r="I1083" i="100" s="1"/>
  <c r="I1082" i="100" s="1"/>
  <c r="H1087" i="100"/>
  <c r="H1083" i="100" s="1"/>
  <c r="H1082" i="100" s="1"/>
  <c r="G1087" i="100"/>
  <c r="F1086" i="100"/>
  <c r="F1085" i="100"/>
  <c r="F1084" i="100" s="1"/>
  <c r="J1084" i="100"/>
  <c r="J1083" i="100" s="1"/>
  <c r="I1084" i="100"/>
  <c r="H1084" i="100"/>
  <c r="G1084" i="100"/>
  <c r="F1081" i="100"/>
  <c r="F1080" i="100"/>
  <c r="J1079" i="100"/>
  <c r="I1079" i="100"/>
  <c r="H1079" i="100"/>
  <c r="G1079" i="100"/>
  <c r="F1078" i="100"/>
  <c r="F1077" i="100"/>
  <c r="F1076" i="100"/>
  <c r="F1075" i="100"/>
  <c r="F1074" i="100"/>
  <c r="F1073" i="100"/>
  <c r="F1072" i="100"/>
  <c r="F1070" i="100" s="1"/>
  <c r="F1071" i="100"/>
  <c r="J1070" i="100"/>
  <c r="I1070" i="100"/>
  <c r="H1070" i="100"/>
  <c r="H1062" i="100" s="1"/>
  <c r="H1061" i="100" s="1"/>
  <c r="H1059" i="100" s="1"/>
  <c r="G1070" i="100"/>
  <c r="F1069" i="100"/>
  <c r="F1068" i="100"/>
  <c r="F1067" i="100"/>
  <c r="F1066" i="100"/>
  <c r="F1065" i="100"/>
  <c r="F1064" i="100"/>
  <c r="J1063" i="100"/>
  <c r="I1063" i="100"/>
  <c r="H1063" i="100"/>
  <c r="G1063" i="100"/>
  <c r="J1062" i="100"/>
  <c r="J1061" i="100" s="1"/>
  <c r="I1062" i="100"/>
  <c r="I1061" i="100" s="1"/>
  <c r="F1058" i="100"/>
  <c r="F1057" i="100"/>
  <c r="F1056" i="100"/>
  <c r="J1055" i="100"/>
  <c r="I1055" i="100"/>
  <c r="H1055" i="100"/>
  <c r="G1055" i="100"/>
  <c r="F1055" i="100"/>
  <c r="F1054" i="100"/>
  <c r="F1053" i="100"/>
  <c r="F1052" i="100"/>
  <c r="F1051" i="100"/>
  <c r="F1049" i="100" s="1"/>
  <c r="F1050" i="100"/>
  <c r="J1049" i="100"/>
  <c r="I1049" i="100"/>
  <c r="H1049" i="100"/>
  <c r="H1045" i="100" s="1"/>
  <c r="H1044" i="100" s="1"/>
  <c r="H1042" i="100" s="1"/>
  <c r="G1049" i="100"/>
  <c r="F1048" i="100"/>
  <c r="F1047" i="100"/>
  <c r="J1046" i="100"/>
  <c r="I1046" i="100"/>
  <c r="H1046" i="100"/>
  <c r="G1046" i="100"/>
  <c r="J1045" i="100"/>
  <c r="I1045" i="100"/>
  <c r="I1044" i="100" s="1"/>
  <c r="I1042" i="100" s="1"/>
  <c r="I1041" i="100"/>
  <c r="F1041" i="100" s="1"/>
  <c r="F1040" i="100" s="1"/>
  <c r="J1040" i="100"/>
  <c r="H1040" i="100"/>
  <c r="G1040" i="100"/>
  <c r="F1039" i="100"/>
  <c r="F1038" i="100"/>
  <c r="F1037" i="100"/>
  <c r="J1036" i="100"/>
  <c r="I1036" i="100"/>
  <c r="H1036" i="100"/>
  <c r="G1036" i="100"/>
  <c r="F1035" i="100"/>
  <c r="F1034" i="100"/>
  <c r="F1033" i="100" s="1"/>
  <c r="J1033" i="100"/>
  <c r="I1033" i="100"/>
  <c r="H1033" i="100"/>
  <c r="G1033" i="100"/>
  <c r="G1032" i="100" s="1"/>
  <c r="G1031" i="100" s="1"/>
  <c r="G1029" i="100" s="1"/>
  <c r="I1032" i="100"/>
  <c r="I1028" i="100"/>
  <c r="F1028" i="100"/>
  <c r="J1027" i="100"/>
  <c r="J1019" i="100" s="1"/>
  <c r="J1017" i="100" s="1"/>
  <c r="I1027" i="100"/>
  <c r="H1027" i="100"/>
  <c r="G1027" i="100"/>
  <c r="F1027" i="100"/>
  <c r="F1026" i="100"/>
  <c r="F1024" i="100" s="1"/>
  <c r="F1025" i="100"/>
  <c r="J1024" i="100"/>
  <c r="I1024" i="100"/>
  <c r="I1020" i="100" s="1"/>
  <c r="I1019" i="100" s="1"/>
  <c r="I1017" i="100" s="1"/>
  <c r="H1024" i="100"/>
  <c r="G1024" i="100"/>
  <c r="F1023" i="100"/>
  <c r="F1021" i="100" s="1"/>
  <c r="F1020" i="100" s="1"/>
  <c r="F1022" i="100"/>
  <c r="J1021" i="100"/>
  <c r="I1021" i="100"/>
  <c r="H1021" i="100"/>
  <c r="H1020" i="100" s="1"/>
  <c r="H1019" i="100" s="1"/>
  <c r="H1017" i="100" s="1"/>
  <c r="G1021" i="100"/>
  <c r="G1020" i="100" s="1"/>
  <c r="G1019" i="100" s="1"/>
  <c r="J1020" i="100"/>
  <c r="G1017" i="100"/>
  <c r="F1016" i="100"/>
  <c r="F1015" i="100"/>
  <c r="F1014" i="100"/>
  <c r="F1013" i="100"/>
  <c r="F1012" i="100"/>
  <c r="F1011" i="100"/>
  <c r="J1010" i="100"/>
  <c r="I1010" i="100"/>
  <c r="H1010" i="100"/>
  <c r="G1010" i="100"/>
  <c r="F1009" i="100"/>
  <c r="F1008" i="100"/>
  <c r="F1007" i="100"/>
  <c r="F1006" i="100"/>
  <c r="J1005" i="100"/>
  <c r="I1005" i="100"/>
  <c r="I1001" i="100" s="1"/>
  <c r="I1000" i="100" s="1"/>
  <c r="H1005" i="100"/>
  <c r="G1005" i="100"/>
  <c r="F1004" i="100"/>
  <c r="F1003" i="100"/>
  <c r="F1002" i="100" s="1"/>
  <c r="J1002" i="100"/>
  <c r="I1002" i="100"/>
  <c r="H1002" i="100"/>
  <c r="G1002" i="100"/>
  <c r="H1001" i="100"/>
  <c r="H1000" i="100" s="1"/>
  <c r="F999" i="100"/>
  <c r="F998" i="100"/>
  <c r="F997" i="100"/>
  <c r="F996" i="100"/>
  <c r="F995" i="100"/>
  <c r="F994" i="100"/>
  <c r="J993" i="100"/>
  <c r="I993" i="100"/>
  <c r="H993" i="100"/>
  <c r="G993" i="100"/>
  <c r="F992" i="100"/>
  <c r="F991" i="100"/>
  <c r="J990" i="100"/>
  <c r="I990" i="100"/>
  <c r="H990" i="100"/>
  <c r="H986" i="100" s="1"/>
  <c r="G990" i="100"/>
  <c r="F989" i="100"/>
  <c r="F988" i="100"/>
  <c r="F987" i="100" s="1"/>
  <c r="J987" i="100"/>
  <c r="J986" i="100" s="1"/>
  <c r="J985" i="100" s="1"/>
  <c r="I987" i="100"/>
  <c r="I986" i="100" s="1"/>
  <c r="H987" i="100"/>
  <c r="G987" i="100"/>
  <c r="F984" i="100"/>
  <c r="F983" i="100"/>
  <c r="F982" i="100"/>
  <c r="F981" i="100"/>
  <c r="F980" i="100"/>
  <c r="F979" i="100"/>
  <c r="J978" i="100"/>
  <c r="I978" i="100"/>
  <c r="H978" i="100"/>
  <c r="G978" i="100"/>
  <c r="F977" i="100"/>
  <c r="F976" i="100"/>
  <c r="J975" i="100"/>
  <c r="J971" i="100" s="1"/>
  <c r="J970" i="100" s="1"/>
  <c r="I975" i="100"/>
  <c r="H975" i="100"/>
  <c r="G975" i="100"/>
  <c r="F975" i="100"/>
  <c r="F974" i="100"/>
  <c r="F972" i="100" s="1"/>
  <c r="F973" i="100"/>
  <c r="J972" i="100"/>
  <c r="I972" i="100"/>
  <c r="I971" i="100" s="1"/>
  <c r="I970" i="100" s="1"/>
  <c r="H972" i="100"/>
  <c r="H971" i="100" s="1"/>
  <c r="G972" i="100"/>
  <c r="G971" i="100" s="1"/>
  <c r="F969" i="100"/>
  <c r="F968" i="100"/>
  <c r="F967" i="100"/>
  <c r="F966" i="100"/>
  <c r="F965" i="100"/>
  <c r="F964" i="100"/>
  <c r="F963" i="100" s="1"/>
  <c r="J963" i="100"/>
  <c r="I963" i="100"/>
  <c r="H963" i="100"/>
  <c r="G963" i="100"/>
  <c r="F962" i="100"/>
  <c r="F961" i="100"/>
  <c r="J960" i="100"/>
  <c r="J956" i="100" s="1"/>
  <c r="J955" i="100" s="1"/>
  <c r="I960" i="100"/>
  <c r="H960" i="100"/>
  <c r="G960" i="100"/>
  <c r="F959" i="100"/>
  <c r="F958" i="100"/>
  <c r="J957" i="100"/>
  <c r="I957" i="100"/>
  <c r="H957" i="100"/>
  <c r="G957" i="100"/>
  <c r="H956" i="100"/>
  <c r="H955" i="100" s="1"/>
  <c r="F954" i="100"/>
  <c r="F953" i="100"/>
  <c r="F952" i="100"/>
  <c r="F951" i="100"/>
  <c r="F950" i="100"/>
  <c r="F949" i="100"/>
  <c r="J948" i="100"/>
  <c r="I948" i="100"/>
  <c r="H948" i="100"/>
  <c r="G948" i="100"/>
  <c r="F947" i="100"/>
  <c r="F946" i="100"/>
  <c r="J945" i="100"/>
  <c r="I945" i="100"/>
  <c r="H945" i="100"/>
  <c r="H941" i="100" s="1"/>
  <c r="H940" i="100" s="1"/>
  <c r="G945" i="100"/>
  <c r="G941" i="100" s="1"/>
  <c r="G940" i="100" s="1"/>
  <c r="F944" i="100"/>
  <c r="F943" i="100"/>
  <c r="J942" i="100"/>
  <c r="J941" i="100" s="1"/>
  <c r="J940" i="100" s="1"/>
  <c r="I942" i="100"/>
  <c r="H942" i="100"/>
  <c r="G942" i="100"/>
  <c r="I941" i="100"/>
  <c r="F939" i="100"/>
  <c r="F938" i="100"/>
  <c r="F937" i="100"/>
  <c r="F936" i="100"/>
  <c r="F935" i="100"/>
  <c r="F934" i="100"/>
  <c r="J933" i="100"/>
  <c r="I933" i="100"/>
  <c r="H933" i="100"/>
  <c r="G933" i="100"/>
  <c r="F932" i="100"/>
  <c r="F930" i="100" s="1"/>
  <c r="F931" i="100"/>
  <c r="J930" i="100"/>
  <c r="I930" i="100"/>
  <c r="H930" i="100"/>
  <c r="G930" i="100"/>
  <c r="F929" i="100"/>
  <c r="F928" i="100"/>
  <c r="J927" i="100"/>
  <c r="I927" i="100"/>
  <c r="H927" i="100"/>
  <c r="G927" i="100"/>
  <c r="J926" i="100"/>
  <c r="H926" i="100"/>
  <c r="H925" i="100" s="1"/>
  <c r="F924" i="100"/>
  <c r="F923" i="100"/>
  <c r="F922" i="100"/>
  <c r="F921" i="100"/>
  <c r="F920" i="100"/>
  <c r="F919" i="100"/>
  <c r="J918" i="100"/>
  <c r="I918" i="100"/>
  <c r="H918" i="100"/>
  <c r="G918" i="100"/>
  <c r="F918" i="100"/>
  <c r="F917" i="100"/>
  <c r="F915" i="100" s="1"/>
  <c r="F916" i="100"/>
  <c r="J915" i="100"/>
  <c r="J911" i="100" s="1"/>
  <c r="I915" i="100"/>
  <c r="I911" i="100" s="1"/>
  <c r="I910" i="100" s="1"/>
  <c r="H915" i="100"/>
  <c r="G915" i="100"/>
  <c r="F914" i="100"/>
  <c r="F912" i="100" s="1"/>
  <c r="F913" i="100"/>
  <c r="J912" i="100"/>
  <c r="I912" i="100"/>
  <c r="H912" i="100"/>
  <c r="H911" i="100" s="1"/>
  <c r="H910" i="100" s="1"/>
  <c r="G912" i="100"/>
  <c r="G911" i="100" s="1"/>
  <c r="G910" i="100" s="1"/>
  <c r="F909" i="100"/>
  <c r="F908" i="100"/>
  <c r="F907" i="100"/>
  <c r="F906" i="100"/>
  <c r="F905" i="100"/>
  <c r="F904" i="100"/>
  <c r="J903" i="100"/>
  <c r="I903" i="100"/>
  <c r="H903" i="100"/>
  <c r="G903" i="100"/>
  <c r="F902" i="100"/>
  <c r="F901" i="100"/>
  <c r="J900" i="100"/>
  <c r="J896" i="100" s="1"/>
  <c r="J895" i="100" s="1"/>
  <c r="I900" i="100"/>
  <c r="I896" i="100" s="1"/>
  <c r="I895" i="100" s="1"/>
  <c r="H900" i="100"/>
  <c r="G900" i="100"/>
  <c r="F899" i="100"/>
  <c r="F898" i="100"/>
  <c r="J897" i="100"/>
  <c r="I897" i="100"/>
  <c r="H897" i="100"/>
  <c r="G897" i="100"/>
  <c r="G896" i="100" s="1"/>
  <c r="G895" i="100" s="1"/>
  <c r="F894" i="100"/>
  <c r="F893" i="100"/>
  <c r="F892" i="100"/>
  <c r="F891" i="100"/>
  <c r="F890" i="100"/>
  <c r="F889" i="100"/>
  <c r="J888" i="100"/>
  <c r="I888" i="100"/>
  <c r="H888" i="100"/>
  <c r="G888" i="100"/>
  <c r="F887" i="100"/>
  <c r="F886" i="100"/>
  <c r="J885" i="100"/>
  <c r="I885" i="100"/>
  <c r="I881" i="100" s="1"/>
  <c r="I880" i="100" s="1"/>
  <c r="H885" i="100"/>
  <c r="G885" i="100"/>
  <c r="F884" i="100"/>
  <c r="F883" i="100"/>
  <c r="F882" i="100" s="1"/>
  <c r="J882" i="100"/>
  <c r="I882" i="100"/>
  <c r="H882" i="100"/>
  <c r="G882" i="100"/>
  <c r="G881" i="100"/>
  <c r="G880" i="100" s="1"/>
  <c r="F879" i="100"/>
  <c r="F878" i="100"/>
  <c r="F877" i="100"/>
  <c r="F876" i="100"/>
  <c r="F875" i="100"/>
  <c r="F874" i="100"/>
  <c r="J873" i="100"/>
  <c r="I873" i="100"/>
  <c r="H873" i="100"/>
  <c r="G873" i="100"/>
  <c r="F872" i="100"/>
  <c r="F871" i="100"/>
  <c r="J870" i="100"/>
  <c r="I870" i="100"/>
  <c r="H870" i="100"/>
  <c r="H866" i="100" s="1"/>
  <c r="H865" i="100" s="1"/>
  <c r="G870" i="100"/>
  <c r="G866" i="100" s="1"/>
  <c r="G865" i="100" s="1"/>
  <c r="F869" i="100"/>
  <c r="F868" i="100"/>
  <c r="J867" i="100"/>
  <c r="J866" i="100" s="1"/>
  <c r="J865" i="100" s="1"/>
  <c r="I867" i="100"/>
  <c r="I866" i="100" s="1"/>
  <c r="I865" i="100" s="1"/>
  <c r="H867" i="100"/>
  <c r="G867" i="100"/>
  <c r="F867" i="100"/>
  <c r="F864" i="100"/>
  <c r="F863" i="100"/>
  <c r="F862" i="100"/>
  <c r="F861" i="100"/>
  <c r="F860" i="100"/>
  <c r="F859" i="100"/>
  <c r="J858" i="100"/>
  <c r="I858" i="100"/>
  <c r="H858" i="100"/>
  <c r="G858" i="100"/>
  <c r="F857" i="100"/>
  <c r="F856" i="100"/>
  <c r="J855" i="100"/>
  <c r="J851" i="100" s="1"/>
  <c r="J850" i="100" s="1"/>
  <c r="I855" i="100"/>
  <c r="H855" i="100"/>
  <c r="G855" i="100"/>
  <c r="F855" i="100"/>
  <c r="F854" i="100"/>
  <c r="F852" i="100" s="1"/>
  <c r="F853" i="100"/>
  <c r="J852" i="100"/>
  <c r="I852" i="100"/>
  <c r="I851" i="100" s="1"/>
  <c r="I850" i="100" s="1"/>
  <c r="H852" i="100"/>
  <c r="H851" i="100" s="1"/>
  <c r="G852" i="100"/>
  <c r="G851" i="100"/>
  <c r="G850" i="100" s="1"/>
  <c r="F849" i="100"/>
  <c r="F848" i="100"/>
  <c r="F847" i="100"/>
  <c r="F846" i="100"/>
  <c r="F845" i="100"/>
  <c r="F844" i="100"/>
  <c r="J843" i="100"/>
  <c r="I843" i="100"/>
  <c r="H843" i="100"/>
  <c r="G843" i="100"/>
  <c r="F842" i="100"/>
  <c r="F841" i="100"/>
  <c r="J840" i="100"/>
  <c r="J836" i="100" s="1"/>
  <c r="J835" i="100" s="1"/>
  <c r="I840" i="100"/>
  <c r="H840" i="100"/>
  <c r="G840" i="100"/>
  <c r="F839" i="100"/>
  <c r="F838" i="100"/>
  <c r="J837" i="100"/>
  <c r="I837" i="100"/>
  <c r="H837" i="100"/>
  <c r="H836" i="100" s="1"/>
  <c r="G837" i="100"/>
  <c r="F834" i="100"/>
  <c r="F833" i="100"/>
  <c r="F832" i="100"/>
  <c r="F831" i="100"/>
  <c r="F830" i="100"/>
  <c r="F829" i="100"/>
  <c r="J828" i="100"/>
  <c r="I828" i="100"/>
  <c r="H828" i="100"/>
  <c r="G828" i="100"/>
  <c r="F827" i="100"/>
  <c r="F826" i="100"/>
  <c r="F825" i="100" s="1"/>
  <c r="J825" i="100"/>
  <c r="I825" i="100"/>
  <c r="H825" i="100"/>
  <c r="G825" i="100"/>
  <c r="G821" i="100" s="1"/>
  <c r="G820" i="100" s="1"/>
  <c r="F824" i="100"/>
  <c r="F823" i="100"/>
  <c r="J822" i="100"/>
  <c r="I822" i="100"/>
  <c r="I821" i="100" s="1"/>
  <c r="H822" i="100"/>
  <c r="G822" i="100"/>
  <c r="H821" i="100"/>
  <c r="F819" i="100"/>
  <c r="F818" i="100"/>
  <c r="F817" i="100"/>
  <c r="F816" i="100"/>
  <c r="F815" i="100"/>
  <c r="F814" i="100"/>
  <c r="J813" i="100"/>
  <c r="I813" i="100"/>
  <c r="H813" i="100"/>
  <c r="G813" i="100"/>
  <c r="F812" i="100"/>
  <c r="F811" i="100"/>
  <c r="J810" i="100"/>
  <c r="I810" i="100"/>
  <c r="H810" i="100"/>
  <c r="H806" i="100" s="1"/>
  <c r="G810" i="100"/>
  <c r="F809" i="100"/>
  <c r="F808" i="100"/>
  <c r="F807" i="100" s="1"/>
  <c r="J807" i="100"/>
  <c r="J806" i="100" s="1"/>
  <c r="J805" i="100" s="1"/>
  <c r="I807" i="100"/>
  <c r="I806" i="100" s="1"/>
  <c r="H807" i="100"/>
  <c r="G807" i="100"/>
  <c r="F802" i="100"/>
  <c r="F801" i="100"/>
  <c r="J800" i="100"/>
  <c r="I800" i="100"/>
  <c r="H800" i="100"/>
  <c r="G800" i="100"/>
  <c r="F799" i="100"/>
  <c r="F798" i="100"/>
  <c r="F797" i="100"/>
  <c r="F796" i="100"/>
  <c r="F795" i="100"/>
  <c r="F794" i="100"/>
  <c r="F793" i="100"/>
  <c r="F792" i="100"/>
  <c r="F791" i="100"/>
  <c r="F790" i="100"/>
  <c r="J789" i="100"/>
  <c r="I789" i="100"/>
  <c r="H789" i="100"/>
  <c r="G789" i="100"/>
  <c r="F789" i="100"/>
  <c r="F788" i="100"/>
  <c r="F787" i="100"/>
  <c r="F786" i="100"/>
  <c r="F785" i="100"/>
  <c r="F782" i="100" s="1"/>
  <c r="F784" i="100"/>
  <c r="F783" i="100"/>
  <c r="J782" i="100"/>
  <c r="I782" i="100"/>
  <c r="I778" i="100" s="1"/>
  <c r="I777" i="100" s="1"/>
  <c r="H782" i="100"/>
  <c r="G782" i="100"/>
  <c r="F781" i="100"/>
  <c r="F780" i="100"/>
  <c r="J779" i="100"/>
  <c r="I779" i="100"/>
  <c r="H779" i="100"/>
  <c r="G779" i="100"/>
  <c r="F776" i="100"/>
  <c r="F775" i="100"/>
  <c r="J774" i="100"/>
  <c r="I774" i="100"/>
  <c r="H774" i="100"/>
  <c r="G774" i="100"/>
  <c r="F774" i="100"/>
  <c r="F773" i="100"/>
  <c r="F772" i="100"/>
  <c r="F771" i="100"/>
  <c r="F770" i="100"/>
  <c r="F769" i="100"/>
  <c r="F768" i="100"/>
  <c r="F767" i="100"/>
  <c r="F766" i="100"/>
  <c r="F765" i="100" s="1"/>
  <c r="J765" i="100"/>
  <c r="I765" i="100"/>
  <c r="H765" i="100"/>
  <c r="G765" i="100"/>
  <c r="G750" i="100" s="1"/>
  <c r="F764" i="100"/>
  <c r="F763" i="100"/>
  <c r="F762" i="100"/>
  <c r="F761" i="100"/>
  <c r="F760" i="100"/>
  <c r="F759" i="100"/>
  <c r="F758" i="100"/>
  <c r="F757" i="100"/>
  <c r="F756" i="100"/>
  <c r="F755" i="100"/>
  <c r="J754" i="100"/>
  <c r="J750" i="100" s="1"/>
  <c r="I754" i="100"/>
  <c r="I750" i="100" s="1"/>
  <c r="I749" i="100" s="1"/>
  <c r="H754" i="100"/>
  <c r="G754" i="100"/>
  <c r="F753" i="100"/>
  <c r="F751" i="100" s="1"/>
  <c r="F752" i="100"/>
  <c r="J751" i="100"/>
  <c r="I751" i="100"/>
  <c r="H751" i="100"/>
  <c r="H750" i="100" s="1"/>
  <c r="H749" i="100" s="1"/>
  <c r="G751" i="100"/>
  <c r="G749" i="100"/>
  <c r="F748" i="100"/>
  <c r="F746" i="100" s="1"/>
  <c r="F747" i="100"/>
  <c r="J746" i="100"/>
  <c r="I746" i="100"/>
  <c r="H746" i="100"/>
  <c r="G746" i="100"/>
  <c r="F745" i="100"/>
  <c r="F744" i="100"/>
  <c r="F743" i="100"/>
  <c r="F742" i="100"/>
  <c r="F741" i="100"/>
  <c r="F740" i="100"/>
  <c r="F739" i="100"/>
  <c r="F738" i="100"/>
  <c r="F737" i="100"/>
  <c r="F736" i="100"/>
  <c r="F735" i="100"/>
  <c r="F734" i="100"/>
  <c r="F733" i="100"/>
  <c r="F732" i="100"/>
  <c r="F731" i="100"/>
  <c r="F730" i="100"/>
  <c r="F729" i="100"/>
  <c r="F728" i="100"/>
  <c r="F727" i="100"/>
  <c r="F726" i="100"/>
  <c r="F725" i="100"/>
  <c r="J724" i="100"/>
  <c r="I724" i="100"/>
  <c r="H724" i="100"/>
  <c r="G724" i="100"/>
  <c r="G712" i="100" s="1"/>
  <c r="G711" i="100" s="1"/>
  <c r="F723" i="100"/>
  <c r="F722" i="100"/>
  <c r="F721" i="100"/>
  <c r="F720" i="100"/>
  <c r="F719" i="100"/>
  <c r="F718" i="100"/>
  <c r="F717" i="100"/>
  <c r="F716" i="100"/>
  <c r="F715" i="100"/>
  <c r="F714" i="100"/>
  <c r="J713" i="100"/>
  <c r="I713" i="100"/>
  <c r="I712" i="100" s="1"/>
  <c r="H713" i="100"/>
  <c r="G713" i="100"/>
  <c r="H712" i="100"/>
  <c r="H711" i="100" s="1"/>
  <c r="F710" i="100"/>
  <c r="F709" i="100"/>
  <c r="F708" i="100" s="1"/>
  <c r="J708" i="100"/>
  <c r="I708" i="100"/>
  <c r="H708" i="100"/>
  <c r="G708" i="100"/>
  <c r="F707" i="100"/>
  <c r="F706" i="100"/>
  <c r="F705" i="100"/>
  <c r="F704" i="100"/>
  <c r="F703" i="100"/>
  <c r="F702" i="100"/>
  <c r="J701" i="100"/>
  <c r="I701" i="100"/>
  <c r="H701" i="100"/>
  <c r="G701" i="100"/>
  <c r="F700" i="100"/>
  <c r="F699" i="100"/>
  <c r="F698" i="100"/>
  <c r="F697" i="100"/>
  <c r="F696" i="100"/>
  <c r="F695" i="100"/>
  <c r="J694" i="100"/>
  <c r="I694" i="100"/>
  <c r="H694" i="100"/>
  <c r="G694" i="100"/>
  <c r="F693" i="100"/>
  <c r="F692" i="100"/>
  <c r="J691" i="100"/>
  <c r="I691" i="100"/>
  <c r="H691" i="100"/>
  <c r="G691" i="100"/>
  <c r="J690" i="100"/>
  <c r="J689" i="100" s="1"/>
  <c r="F688" i="100"/>
  <c r="F687" i="100"/>
  <c r="F686" i="100"/>
  <c r="F685" i="100"/>
  <c r="F684" i="100"/>
  <c r="F683" i="100"/>
  <c r="J682" i="100"/>
  <c r="I682" i="100"/>
  <c r="H682" i="100"/>
  <c r="G682" i="100"/>
  <c r="F682" i="100"/>
  <c r="F681" i="100"/>
  <c r="F680" i="100"/>
  <c r="F679" i="100"/>
  <c r="F678" i="100"/>
  <c r="F677" i="100"/>
  <c r="F676" i="100"/>
  <c r="F675" i="100"/>
  <c r="F674" i="100"/>
  <c r="F673" i="100" s="1"/>
  <c r="J673" i="100"/>
  <c r="I673" i="100"/>
  <c r="H673" i="100"/>
  <c r="G673" i="100"/>
  <c r="F672" i="100"/>
  <c r="F671" i="100"/>
  <c r="F670" i="100"/>
  <c r="F669" i="100"/>
  <c r="F668" i="100"/>
  <c r="F667" i="100"/>
  <c r="F666" i="100"/>
  <c r="F665" i="100"/>
  <c r="J664" i="100"/>
  <c r="I664" i="100"/>
  <c r="H664" i="100"/>
  <c r="G664" i="100"/>
  <c r="F663" i="100"/>
  <c r="F662" i="100"/>
  <c r="F661" i="100"/>
  <c r="F660" i="100"/>
  <c r="J659" i="100"/>
  <c r="I659" i="100"/>
  <c r="H659" i="100"/>
  <c r="H658" i="100" s="1"/>
  <c r="H657" i="100" s="1"/>
  <c r="G659" i="100"/>
  <c r="J658" i="100"/>
  <c r="J657" i="100" s="1"/>
  <c r="I658" i="100"/>
  <c r="F656" i="100"/>
  <c r="F655" i="100"/>
  <c r="J654" i="100"/>
  <c r="I654" i="100"/>
  <c r="H654" i="100"/>
  <c r="G654" i="100"/>
  <c r="F654" i="100"/>
  <c r="F653" i="100"/>
  <c r="F652" i="100"/>
  <c r="F651" i="100"/>
  <c r="F650" i="100"/>
  <c r="F649" i="100"/>
  <c r="F648" i="100"/>
  <c r="J647" i="100"/>
  <c r="I647" i="100"/>
  <c r="I637" i="100" s="1"/>
  <c r="H647" i="100"/>
  <c r="G647" i="100"/>
  <c r="F646" i="100"/>
  <c r="F645" i="100"/>
  <c r="F644" i="100"/>
  <c r="F643" i="100"/>
  <c r="F642" i="100"/>
  <c r="F641" i="100"/>
  <c r="F640" i="100" s="1"/>
  <c r="J640" i="100"/>
  <c r="I640" i="100"/>
  <c r="H640" i="100"/>
  <c r="G640" i="100"/>
  <c r="G639" i="100"/>
  <c r="F639" i="100" s="1"/>
  <c r="F638" i="100" s="1"/>
  <c r="J638" i="100"/>
  <c r="I638" i="100"/>
  <c r="H638" i="100"/>
  <c r="F635" i="100"/>
  <c r="F634" i="100"/>
  <c r="J633" i="100"/>
  <c r="I633" i="100"/>
  <c r="H633" i="100"/>
  <c r="G633" i="100"/>
  <c r="F632" i="100"/>
  <c r="F631" i="100"/>
  <c r="F630" i="100"/>
  <c r="F629" i="100"/>
  <c r="F628" i="100"/>
  <c r="F627" i="100"/>
  <c r="F626" i="100" s="1"/>
  <c r="J626" i="100"/>
  <c r="I626" i="100"/>
  <c r="H626" i="100"/>
  <c r="G626" i="100"/>
  <c r="G618" i="100" s="1"/>
  <c r="G617" i="100" s="1"/>
  <c r="F625" i="100"/>
  <c r="F624" i="100"/>
  <c r="F623" i="100"/>
  <c r="F622" i="100"/>
  <c r="F621" i="100"/>
  <c r="F620" i="100"/>
  <c r="J619" i="100"/>
  <c r="I619" i="100"/>
  <c r="I618" i="100" s="1"/>
  <c r="H619" i="100"/>
  <c r="G619" i="100"/>
  <c r="J618" i="100"/>
  <c r="J617" i="100" s="1"/>
  <c r="H618" i="100"/>
  <c r="H617" i="100" s="1"/>
  <c r="F616" i="100"/>
  <c r="F615" i="100"/>
  <c r="J614" i="100"/>
  <c r="I614" i="100"/>
  <c r="H614" i="100"/>
  <c r="G614" i="100"/>
  <c r="F613" i="100"/>
  <c r="F612" i="100"/>
  <c r="F611" i="100"/>
  <c r="F610" i="100"/>
  <c r="F609" i="100"/>
  <c r="F608" i="100"/>
  <c r="F607" i="100"/>
  <c r="F606" i="100"/>
  <c r="F605" i="100"/>
  <c r="F604" i="100"/>
  <c r="F602" i="100" s="1"/>
  <c r="F603" i="100"/>
  <c r="J602" i="100"/>
  <c r="I602" i="100"/>
  <c r="H602" i="100"/>
  <c r="G602" i="100"/>
  <c r="F601" i="100"/>
  <c r="F600" i="100"/>
  <c r="F599" i="100"/>
  <c r="F598" i="100"/>
  <c r="F597" i="100"/>
  <c r="J596" i="100"/>
  <c r="I596" i="100"/>
  <c r="H596" i="100"/>
  <c r="H595" i="100" s="1"/>
  <c r="H594" i="100" s="1"/>
  <c r="G596" i="100"/>
  <c r="I595" i="100"/>
  <c r="F593" i="100"/>
  <c r="F592" i="100" s="1"/>
  <c r="J592" i="100"/>
  <c r="I592" i="100"/>
  <c r="H592" i="100"/>
  <c r="G592" i="100"/>
  <c r="F591" i="100"/>
  <c r="F590" i="100"/>
  <c r="F589" i="100"/>
  <c r="F588" i="100"/>
  <c r="F587" i="100"/>
  <c r="F586" i="100"/>
  <c r="F585" i="100"/>
  <c r="F584" i="100"/>
  <c r="F583" i="100"/>
  <c r="F582" i="100"/>
  <c r="F581" i="100"/>
  <c r="F580" i="100"/>
  <c r="F579" i="100"/>
  <c r="J578" i="100"/>
  <c r="I578" i="100"/>
  <c r="H578" i="100"/>
  <c r="G578" i="100"/>
  <c r="F577" i="100"/>
  <c r="F576" i="100"/>
  <c r="F575" i="100"/>
  <c r="F574" i="100"/>
  <c r="F573" i="100"/>
  <c r="F572" i="100"/>
  <c r="F571" i="100"/>
  <c r="F570" i="100"/>
  <c r="J569" i="100"/>
  <c r="I569" i="100"/>
  <c r="I568" i="100" s="1"/>
  <c r="I567" i="100" s="1"/>
  <c r="H569" i="100"/>
  <c r="G569" i="100"/>
  <c r="H568" i="100"/>
  <c r="H567" i="100" s="1"/>
  <c r="F566" i="100"/>
  <c r="F565" i="100"/>
  <c r="J564" i="100"/>
  <c r="I564" i="100"/>
  <c r="H564" i="100"/>
  <c r="G564" i="100"/>
  <c r="F563" i="100"/>
  <c r="F562" i="100"/>
  <c r="F561" i="100"/>
  <c r="F560" i="100"/>
  <c r="F559" i="100"/>
  <c r="F558" i="100"/>
  <c r="F557" i="100"/>
  <c r="F556" i="100"/>
  <c r="J555" i="100"/>
  <c r="I555" i="100"/>
  <c r="H555" i="100"/>
  <c r="G555" i="100"/>
  <c r="F554" i="100"/>
  <c r="F553" i="100"/>
  <c r="F552" i="100"/>
  <c r="F551" i="100"/>
  <c r="F550" i="100"/>
  <c r="F549" i="100"/>
  <c r="F548" i="100"/>
  <c r="F547" i="100"/>
  <c r="J546" i="100"/>
  <c r="I546" i="100"/>
  <c r="I545" i="100" s="1"/>
  <c r="I544" i="100" s="1"/>
  <c r="H546" i="100"/>
  <c r="H545" i="100" s="1"/>
  <c r="H544" i="100" s="1"/>
  <c r="G546" i="100"/>
  <c r="G545" i="100" s="1"/>
  <c r="G544" i="100" s="1"/>
  <c r="J545" i="100"/>
  <c r="J544" i="100" s="1"/>
  <c r="F543" i="100"/>
  <c r="F542" i="100"/>
  <c r="F541" i="100" s="1"/>
  <c r="J541" i="100"/>
  <c r="I541" i="100"/>
  <c r="H541" i="100"/>
  <c r="G541" i="100"/>
  <c r="F540" i="100"/>
  <c r="F539" i="100"/>
  <c r="F538" i="100"/>
  <c r="F537" i="100"/>
  <c r="F536" i="100"/>
  <c r="F535" i="100"/>
  <c r="F534" i="100"/>
  <c r="F533" i="100"/>
  <c r="J532" i="100"/>
  <c r="I532" i="100"/>
  <c r="H532" i="100"/>
  <c r="G532" i="100"/>
  <c r="F531" i="100"/>
  <c r="F530" i="100"/>
  <c r="F529" i="100"/>
  <c r="F528" i="100"/>
  <c r="F527" i="100"/>
  <c r="F526" i="100"/>
  <c r="F525" i="100"/>
  <c r="F524" i="100"/>
  <c r="J523" i="100"/>
  <c r="I523" i="100"/>
  <c r="H523" i="100"/>
  <c r="H522" i="100" s="1"/>
  <c r="H521" i="100" s="1"/>
  <c r="G523" i="100"/>
  <c r="G522" i="100" s="1"/>
  <c r="J522" i="100"/>
  <c r="I522" i="100"/>
  <c r="I521" i="100" s="1"/>
  <c r="F520" i="100"/>
  <c r="F519" i="100"/>
  <c r="J518" i="100"/>
  <c r="I518" i="100"/>
  <c r="H518" i="100"/>
  <c r="G518" i="100"/>
  <c r="F518" i="100"/>
  <c r="F517" i="100"/>
  <c r="F516" i="100"/>
  <c r="F515" i="100"/>
  <c r="F514" i="100"/>
  <c r="F513" i="100"/>
  <c r="F512" i="100"/>
  <c r="F511" i="100"/>
  <c r="F510" i="100"/>
  <c r="F509" i="100"/>
  <c r="F508" i="100"/>
  <c r="J507" i="100"/>
  <c r="I507" i="100"/>
  <c r="H507" i="100"/>
  <c r="G507" i="100"/>
  <c r="F506" i="100"/>
  <c r="F505" i="100"/>
  <c r="F504" i="100"/>
  <c r="F503" i="100"/>
  <c r="F502" i="100"/>
  <c r="F501" i="100"/>
  <c r="F500" i="100"/>
  <c r="F499" i="100"/>
  <c r="J498" i="100"/>
  <c r="I498" i="100"/>
  <c r="I497" i="100" s="1"/>
  <c r="H498" i="100"/>
  <c r="H497" i="100" s="1"/>
  <c r="H496" i="100" s="1"/>
  <c r="G498" i="100"/>
  <c r="J497" i="100"/>
  <c r="G497" i="100"/>
  <c r="G496" i="100"/>
  <c r="F495" i="100"/>
  <c r="F494" i="100"/>
  <c r="F493" i="100"/>
  <c r="F492" i="100" s="1"/>
  <c r="J492" i="100"/>
  <c r="I492" i="100"/>
  <c r="H492" i="100"/>
  <c r="G492" i="100"/>
  <c r="F491" i="100"/>
  <c r="F490" i="100"/>
  <c r="F489" i="100"/>
  <c r="J488" i="100"/>
  <c r="I488" i="100"/>
  <c r="H488" i="100"/>
  <c r="G488" i="100"/>
  <c r="F487" i="100"/>
  <c r="F486" i="100"/>
  <c r="F485" i="100"/>
  <c r="J484" i="100"/>
  <c r="I484" i="100"/>
  <c r="H484" i="100"/>
  <c r="H483" i="100" s="1"/>
  <c r="H482" i="100" s="1"/>
  <c r="G484" i="100"/>
  <c r="F481" i="100"/>
  <c r="F480" i="100"/>
  <c r="F479" i="100"/>
  <c r="F478" i="100"/>
  <c r="F477" i="100"/>
  <c r="F476" i="100"/>
  <c r="J475" i="100"/>
  <c r="I475" i="100"/>
  <c r="H475" i="100"/>
  <c r="G475" i="100"/>
  <c r="F474" i="100"/>
  <c r="F473" i="100"/>
  <c r="F472" i="100"/>
  <c r="J471" i="100"/>
  <c r="J466" i="100" s="1"/>
  <c r="J465" i="100" s="1"/>
  <c r="I471" i="100"/>
  <c r="I466" i="100" s="1"/>
  <c r="H471" i="100"/>
  <c r="G471" i="100"/>
  <c r="F470" i="100"/>
  <c r="F469" i="100"/>
  <c r="F468" i="100"/>
  <c r="F467" i="100" s="1"/>
  <c r="J467" i="100"/>
  <c r="I467" i="100"/>
  <c r="H467" i="100"/>
  <c r="G467" i="100"/>
  <c r="G466" i="100" s="1"/>
  <c r="G465" i="100" s="1"/>
  <c r="F464" i="100"/>
  <c r="F461" i="100" s="1"/>
  <c r="F463" i="100"/>
  <c r="F462" i="100"/>
  <c r="J461" i="100"/>
  <c r="I461" i="100"/>
  <c r="H461" i="100"/>
  <c r="G461" i="100"/>
  <c r="F460" i="100"/>
  <c r="F457" i="100" s="1"/>
  <c r="F459" i="100"/>
  <c r="F458" i="100"/>
  <c r="J457" i="100"/>
  <c r="I457" i="100"/>
  <c r="H457" i="100"/>
  <c r="G457" i="100"/>
  <c r="F456" i="100"/>
  <c r="F453" i="100" s="1"/>
  <c r="F455" i="100"/>
  <c r="F454" i="100"/>
  <c r="J453" i="100"/>
  <c r="J452" i="100" s="1"/>
  <c r="J451" i="100" s="1"/>
  <c r="I453" i="100"/>
  <c r="I452" i="100" s="1"/>
  <c r="I451" i="100" s="1"/>
  <c r="H453" i="100"/>
  <c r="G453" i="100"/>
  <c r="G452" i="100" s="1"/>
  <c r="G451" i="100" s="1"/>
  <c r="H452" i="100"/>
  <c r="H451" i="100" s="1"/>
  <c r="F450" i="100"/>
  <c r="F449" i="100"/>
  <c r="F448" i="100" s="1"/>
  <c r="J448" i="100"/>
  <c r="I448" i="100"/>
  <c r="H448" i="100"/>
  <c r="G448" i="100"/>
  <c r="F447" i="100"/>
  <c r="F446" i="100"/>
  <c r="F445" i="100"/>
  <c r="F444" i="100"/>
  <c r="F443" i="100"/>
  <c r="F442" i="100"/>
  <c r="F441" i="100"/>
  <c r="F440" i="100"/>
  <c r="F439" i="100"/>
  <c r="F438" i="100"/>
  <c r="F437" i="100"/>
  <c r="F436" i="100"/>
  <c r="F435" i="100"/>
  <c r="F434" i="100"/>
  <c r="F433" i="100"/>
  <c r="F432" i="100"/>
  <c r="F431" i="100"/>
  <c r="J430" i="100"/>
  <c r="I430" i="100"/>
  <c r="I418" i="100" s="1"/>
  <c r="I417" i="100" s="1"/>
  <c r="H430" i="100"/>
  <c r="G430" i="100"/>
  <c r="F429" i="100"/>
  <c r="F428" i="100"/>
  <c r="F427" i="100"/>
  <c r="F426" i="100"/>
  <c r="F425" i="100"/>
  <c r="F424" i="100"/>
  <c r="F423" i="100"/>
  <c r="F422" i="100"/>
  <c r="F421" i="100"/>
  <c r="F420" i="100"/>
  <c r="J419" i="100"/>
  <c r="I419" i="100"/>
  <c r="H419" i="100"/>
  <c r="G419" i="100"/>
  <c r="G418" i="100" s="1"/>
  <c r="J418" i="100"/>
  <c r="J417" i="100" s="1"/>
  <c r="F416" i="100"/>
  <c r="F415" i="100"/>
  <c r="J414" i="100"/>
  <c r="I414" i="100"/>
  <c r="H414" i="100"/>
  <c r="G414" i="100"/>
  <c r="F413" i="100"/>
  <c r="F412" i="100"/>
  <c r="F411" i="100"/>
  <c r="F410" i="100"/>
  <c r="F409" i="100"/>
  <c r="F408" i="100"/>
  <c r="F407" i="100"/>
  <c r="F406" i="100"/>
  <c r="F405" i="100"/>
  <c r="F404" i="100"/>
  <c r="F403" i="100"/>
  <c r="F402" i="100"/>
  <c r="F401" i="100"/>
  <c r="F400" i="100"/>
  <c r="F399" i="100"/>
  <c r="F398" i="100"/>
  <c r="F397" i="100"/>
  <c r="F396" i="100"/>
  <c r="F395" i="100"/>
  <c r="J394" i="100"/>
  <c r="I394" i="100"/>
  <c r="H394" i="100"/>
  <c r="G394" i="100"/>
  <c r="F393" i="100"/>
  <c r="F392" i="100"/>
  <c r="F391" i="100"/>
  <c r="F390" i="100"/>
  <c r="F389" i="100"/>
  <c r="F388" i="100"/>
  <c r="F387" i="100"/>
  <c r="F386" i="100"/>
  <c r="F385" i="100"/>
  <c r="F384" i="100"/>
  <c r="F383" i="100"/>
  <c r="F382" i="100"/>
  <c r="J381" i="100"/>
  <c r="I381" i="100"/>
  <c r="H381" i="100"/>
  <c r="G381" i="100"/>
  <c r="F381" i="100"/>
  <c r="F380" i="100"/>
  <c r="F379" i="100"/>
  <c r="F378" i="100"/>
  <c r="F377" i="100"/>
  <c r="F376" i="100" s="1"/>
  <c r="J376" i="100"/>
  <c r="I376" i="100"/>
  <c r="H376" i="100"/>
  <c r="G376" i="100"/>
  <c r="G375" i="100" s="1"/>
  <c r="G374" i="100" s="1"/>
  <c r="H375" i="100"/>
  <c r="H374" i="100" s="1"/>
  <c r="F373" i="100"/>
  <c r="F372" i="100"/>
  <c r="F371" i="100" s="1"/>
  <c r="J371" i="100"/>
  <c r="I371" i="100"/>
  <c r="H371" i="100"/>
  <c r="G371" i="100"/>
  <c r="G370" i="100"/>
  <c r="F369" i="100"/>
  <c r="J368" i="100"/>
  <c r="I368" i="100"/>
  <c r="H368" i="100"/>
  <c r="F367" i="100"/>
  <c r="F366" i="100"/>
  <c r="F365" i="100" s="1"/>
  <c r="J365" i="100"/>
  <c r="I365" i="100"/>
  <c r="I364" i="100" s="1"/>
  <c r="I363" i="100" s="1"/>
  <c r="H365" i="100"/>
  <c r="G365" i="100"/>
  <c r="F362" i="100"/>
  <c r="F361" i="100"/>
  <c r="F360" i="100" s="1"/>
  <c r="J360" i="100"/>
  <c r="I360" i="100"/>
  <c r="H360" i="100"/>
  <c r="G360" i="100"/>
  <c r="F359" i="100"/>
  <c r="F358" i="100"/>
  <c r="F357" i="100"/>
  <c r="F356" i="100"/>
  <c r="F355" i="100"/>
  <c r="F354" i="100"/>
  <c r="F353" i="100"/>
  <c r="F352" i="100"/>
  <c r="F351" i="100"/>
  <c r="F350" i="100"/>
  <c r="J349" i="100"/>
  <c r="I349" i="100"/>
  <c r="H349" i="100"/>
  <c r="G349" i="100"/>
  <c r="F348" i="100"/>
  <c r="F347" i="100"/>
  <c r="F346" i="100"/>
  <c r="F345" i="100"/>
  <c r="F344" i="100"/>
  <c r="F343" i="100"/>
  <c r="F342" i="100"/>
  <c r="F341" i="100"/>
  <c r="J340" i="100"/>
  <c r="J339" i="100" s="1"/>
  <c r="J338" i="100" s="1"/>
  <c r="I340" i="100"/>
  <c r="H340" i="100"/>
  <c r="H339" i="100" s="1"/>
  <c r="G340" i="100"/>
  <c r="I339" i="100"/>
  <c r="I338" i="100" s="1"/>
  <c r="F337" i="100"/>
  <c r="F336" i="100"/>
  <c r="J335" i="100"/>
  <c r="I335" i="100"/>
  <c r="H335" i="100"/>
  <c r="G335" i="100"/>
  <c r="F335" i="100"/>
  <c r="F334" i="100"/>
  <c r="F333" i="100"/>
  <c r="F332" i="100"/>
  <c r="F331" i="100"/>
  <c r="F330" i="100"/>
  <c r="F329" i="100"/>
  <c r="F328" i="100"/>
  <c r="F327" i="100"/>
  <c r="F326" i="100"/>
  <c r="F325" i="100"/>
  <c r="J324" i="100"/>
  <c r="I324" i="100"/>
  <c r="H324" i="100"/>
  <c r="G324" i="100"/>
  <c r="F323" i="100"/>
  <c r="F322" i="100"/>
  <c r="F321" i="100"/>
  <c r="F320" i="100"/>
  <c r="F319" i="100"/>
  <c r="F318" i="100"/>
  <c r="F315" i="100" s="1"/>
  <c r="F317" i="100"/>
  <c r="F316" i="100"/>
  <c r="J315" i="100"/>
  <c r="I315" i="100"/>
  <c r="I314" i="100" s="1"/>
  <c r="H315" i="100"/>
  <c r="G315" i="100"/>
  <c r="J314" i="100"/>
  <c r="G314" i="100"/>
  <c r="G313" i="100" s="1"/>
  <c r="F312" i="100"/>
  <c r="F311" i="100"/>
  <c r="J310" i="100"/>
  <c r="I310" i="100"/>
  <c r="H310" i="100"/>
  <c r="G310" i="100"/>
  <c r="F309" i="100"/>
  <c r="F308" i="100"/>
  <c r="F307" i="100"/>
  <c r="F306" i="100"/>
  <c r="F305" i="100"/>
  <c r="F304" i="100"/>
  <c r="F303" i="100"/>
  <c r="F302" i="100"/>
  <c r="F301" i="100"/>
  <c r="F300" i="100"/>
  <c r="J299" i="100"/>
  <c r="J291" i="100" s="1"/>
  <c r="J290" i="100" s="1"/>
  <c r="I299" i="100"/>
  <c r="H299" i="100"/>
  <c r="G299" i="100"/>
  <c r="F298" i="100"/>
  <c r="F297" i="100"/>
  <c r="F296" i="100"/>
  <c r="F295" i="100"/>
  <c r="F294" i="100"/>
  <c r="F292" i="100" s="1"/>
  <c r="F293" i="100"/>
  <c r="J292" i="100"/>
  <c r="I292" i="100"/>
  <c r="I291" i="100" s="1"/>
  <c r="I290" i="100" s="1"/>
  <c r="H292" i="100"/>
  <c r="H291" i="100" s="1"/>
  <c r="H290" i="100" s="1"/>
  <c r="G292" i="100"/>
  <c r="G291" i="100"/>
  <c r="G290" i="100" s="1"/>
  <c r="F289" i="100"/>
  <c r="F288" i="100"/>
  <c r="J287" i="100"/>
  <c r="I287" i="100"/>
  <c r="H287" i="100"/>
  <c r="G287" i="100"/>
  <c r="F286" i="100"/>
  <c r="F285" i="100"/>
  <c r="F284" i="100"/>
  <c r="F283" i="100"/>
  <c r="F282" i="100"/>
  <c r="F281" i="100"/>
  <c r="F280" i="100"/>
  <c r="F279" i="100"/>
  <c r="F278" i="100"/>
  <c r="F277" i="100"/>
  <c r="J276" i="100"/>
  <c r="J268" i="100" s="1"/>
  <c r="J267" i="100" s="1"/>
  <c r="I276" i="100"/>
  <c r="H276" i="100"/>
  <c r="G276" i="100"/>
  <c r="F275" i="100"/>
  <c r="F274" i="100"/>
  <c r="F273" i="100"/>
  <c r="F272" i="100"/>
  <c r="F271" i="100"/>
  <c r="F270" i="100"/>
  <c r="J269" i="100"/>
  <c r="I269" i="100"/>
  <c r="I268" i="100" s="1"/>
  <c r="I267" i="100" s="1"/>
  <c r="H269" i="100"/>
  <c r="G269" i="100"/>
  <c r="F266" i="100"/>
  <c r="F265" i="100"/>
  <c r="J264" i="100"/>
  <c r="I264" i="100"/>
  <c r="H264" i="100"/>
  <c r="G264" i="100"/>
  <c r="F263" i="100"/>
  <c r="F262" i="100"/>
  <c r="J261" i="100"/>
  <c r="I261" i="100"/>
  <c r="I257" i="100" s="1"/>
  <c r="H261" i="100"/>
  <c r="H257" i="100" s="1"/>
  <c r="G261" i="100"/>
  <c r="F260" i="100"/>
  <c r="F259" i="100"/>
  <c r="J258" i="100"/>
  <c r="J257" i="100" s="1"/>
  <c r="J256" i="100" s="1"/>
  <c r="I258" i="100"/>
  <c r="H258" i="100"/>
  <c r="G258" i="100"/>
  <c r="F258" i="100"/>
  <c r="I256" i="100"/>
  <c r="H256" i="100"/>
  <c r="F255" i="100"/>
  <c r="F254" i="100"/>
  <c r="F253" i="100" s="1"/>
  <c r="J253" i="100"/>
  <c r="I253" i="100"/>
  <c r="H253" i="100"/>
  <c r="G253" i="100"/>
  <c r="F252" i="100"/>
  <c r="F251" i="100"/>
  <c r="F250" i="100"/>
  <c r="F249" i="100"/>
  <c r="F248" i="100"/>
  <c r="F247" i="100"/>
  <c r="F246" i="100"/>
  <c r="F245" i="100"/>
  <c r="J244" i="100"/>
  <c r="I244" i="100"/>
  <c r="I237" i="100" s="1"/>
  <c r="I236" i="100" s="1"/>
  <c r="H244" i="100"/>
  <c r="G244" i="100"/>
  <c r="F243" i="100"/>
  <c r="F242" i="100"/>
  <c r="F241" i="100"/>
  <c r="F240" i="100"/>
  <c r="F239" i="100"/>
  <c r="J238" i="100"/>
  <c r="J237" i="100" s="1"/>
  <c r="J236" i="100" s="1"/>
  <c r="I238" i="100"/>
  <c r="H238" i="100"/>
  <c r="G238" i="100"/>
  <c r="G237" i="100" s="1"/>
  <c r="G236" i="100" s="1"/>
  <c r="F238" i="100"/>
  <c r="F235" i="100"/>
  <c r="F234" i="100"/>
  <c r="F233" i="100"/>
  <c r="J232" i="100"/>
  <c r="I232" i="100"/>
  <c r="H232" i="100"/>
  <c r="G232" i="100"/>
  <c r="F231" i="100"/>
  <c r="F230" i="100"/>
  <c r="F229" i="100"/>
  <c r="J228" i="100"/>
  <c r="J223" i="100" s="1"/>
  <c r="I228" i="100"/>
  <c r="H228" i="100"/>
  <c r="G228" i="100"/>
  <c r="F227" i="100"/>
  <c r="F226" i="100"/>
  <c r="F224" i="100" s="1"/>
  <c r="F225" i="100"/>
  <c r="J224" i="100"/>
  <c r="I224" i="100"/>
  <c r="H224" i="100"/>
  <c r="H223" i="100" s="1"/>
  <c r="H222" i="100" s="1"/>
  <c r="G224" i="100"/>
  <c r="I223" i="100"/>
  <c r="I222" i="100" s="1"/>
  <c r="G223" i="100"/>
  <c r="G222" i="100" s="1"/>
  <c r="F221" i="100"/>
  <c r="J220" i="100"/>
  <c r="I220" i="100"/>
  <c r="H220" i="100"/>
  <c r="G220" i="100"/>
  <c r="F220" i="100"/>
  <c r="F219" i="100"/>
  <c r="F218" i="100"/>
  <c r="F217" i="100"/>
  <c r="F216" i="100"/>
  <c r="F215" i="100"/>
  <c r="F214" i="100"/>
  <c r="F213" i="100"/>
  <c r="F212" i="100"/>
  <c r="F210" i="100" s="1"/>
  <c r="F211" i="100"/>
  <c r="J210" i="100"/>
  <c r="I210" i="100"/>
  <c r="H210" i="100"/>
  <c r="G210" i="100"/>
  <c r="F209" i="100"/>
  <c r="F208" i="100"/>
  <c r="F207" i="100"/>
  <c r="F206" i="100"/>
  <c r="F205" i="100"/>
  <c r="J204" i="100"/>
  <c r="I204" i="100"/>
  <c r="H204" i="100"/>
  <c r="G204" i="100"/>
  <c r="G203" i="100" s="1"/>
  <c r="I203" i="100"/>
  <c r="I202" i="100"/>
  <c r="G202" i="100"/>
  <c r="F201" i="100"/>
  <c r="F200" i="100"/>
  <c r="F199" i="100"/>
  <c r="F198" i="100"/>
  <c r="F197" i="100"/>
  <c r="J196" i="100"/>
  <c r="I196" i="100"/>
  <c r="H196" i="100"/>
  <c r="G196" i="100"/>
  <c r="F195" i="100"/>
  <c r="J194" i="100"/>
  <c r="J191" i="100" s="1"/>
  <c r="J190" i="100" s="1"/>
  <c r="I194" i="100"/>
  <c r="H194" i="100"/>
  <c r="G194" i="100"/>
  <c r="F194" i="100"/>
  <c r="F193" i="100"/>
  <c r="F192" i="100" s="1"/>
  <c r="F191" i="100" s="1"/>
  <c r="J192" i="100"/>
  <c r="I192" i="100"/>
  <c r="H192" i="100"/>
  <c r="H191" i="100" s="1"/>
  <c r="G192" i="100"/>
  <c r="G191" i="100" s="1"/>
  <c r="F189" i="100"/>
  <c r="F188" i="100"/>
  <c r="F187" i="100"/>
  <c r="F186" i="100"/>
  <c r="F185" i="100" s="1"/>
  <c r="J185" i="100"/>
  <c r="I185" i="100"/>
  <c r="H185" i="100"/>
  <c r="G185" i="100"/>
  <c r="F184" i="100"/>
  <c r="F183" i="100"/>
  <c r="F182" i="100" s="1"/>
  <c r="J182" i="100"/>
  <c r="J179" i="100" s="1"/>
  <c r="I182" i="100"/>
  <c r="H182" i="100"/>
  <c r="G182" i="100"/>
  <c r="F181" i="100"/>
  <c r="F180" i="100" s="1"/>
  <c r="J180" i="100"/>
  <c r="I180" i="100"/>
  <c r="H180" i="100"/>
  <c r="H179" i="100" s="1"/>
  <c r="H178" i="100" s="1"/>
  <c r="G180" i="100"/>
  <c r="F177" i="100"/>
  <c r="F176" i="100"/>
  <c r="F175" i="100"/>
  <c r="J174" i="100"/>
  <c r="I174" i="100"/>
  <c r="H174" i="100"/>
  <c r="G174" i="100"/>
  <c r="F173" i="100"/>
  <c r="F172" i="100"/>
  <c r="F171" i="100"/>
  <c r="J170" i="100"/>
  <c r="I170" i="100"/>
  <c r="H170" i="100"/>
  <c r="G170" i="100"/>
  <c r="F169" i="100"/>
  <c r="F166" i="100" s="1"/>
  <c r="F168" i="100"/>
  <c r="F167" i="100"/>
  <c r="J166" i="100"/>
  <c r="I166" i="100"/>
  <c r="I165" i="100" s="1"/>
  <c r="I164" i="100" s="1"/>
  <c r="H166" i="100"/>
  <c r="G166" i="100"/>
  <c r="J165" i="100"/>
  <c r="J164" i="100" s="1"/>
  <c r="H165" i="100"/>
  <c r="F163" i="100"/>
  <c r="F162" i="100"/>
  <c r="F161" i="100" s="1"/>
  <c r="J161" i="100"/>
  <c r="I161" i="100"/>
  <c r="H161" i="100"/>
  <c r="G161" i="100"/>
  <c r="F160" i="100"/>
  <c r="F159" i="100"/>
  <c r="F158" i="100"/>
  <c r="F157" i="100" s="1"/>
  <c r="J157" i="100"/>
  <c r="I157" i="100"/>
  <c r="H157" i="100"/>
  <c r="G157" i="100"/>
  <c r="F156" i="100"/>
  <c r="F155" i="100"/>
  <c r="F154" i="100"/>
  <c r="F153" i="100"/>
  <c r="F152" i="100"/>
  <c r="J151" i="100"/>
  <c r="I151" i="100"/>
  <c r="H151" i="100"/>
  <c r="G151" i="100"/>
  <c r="F150" i="100"/>
  <c r="F149" i="100" s="1"/>
  <c r="J149" i="100"/>
  <c r="I149" i="100"/>
  <c r="H149" i="100"/>
  <c r="G149" i="100"/>
  <c r="G146" i="100" s="1"/>
  <c r="G145" i="100" s="1"/>
  <c r="F148" i="100"/>
  <c r="F147" i="100" s="1"/>
  <c r="J147" i="100"/>
  <c r="I147" i="100"/>
  <c r="H147" i="100"/>
  <c r="G147" i="100"/>
  <c r="F144" i="100"/>
  <c r="F142" i="100" s="1"/>
  <c r="F143" i="100"/>
  <c r="J142" i="100"/>
  <c r="I142" i="100"/>
  <c r="H142" i="100"/>
  <c r="G142" i="100"/>
  <c r="F141" i="100"/>
  <c r="F140" i="100"/>
  <c r="F139" i="100"/>
  <c r="F138" i="100"/>
  <c r="J137" i="100"/>
  <c r="I137" i="100"/>
  <c r="H137" i="100"/>
  <c r="G137" i="100"/>
  <c r="F136" i="100"/>
  <c r="F135" i="100"/>
  <c r="F134" i="100" s="1"/>
  <c r="J134" i="100"/>
  <c r="I134" i="100"/>
  <c r="H134" i="100"/>
  <c r="H133" i="100" s="1"/>
  <c r="G134" i="100"/>
  <c r="H132" i="100"/>
  <c r="F131" i="100"/>
  <c r="F130" i="100"/>
  <c r="J129" i="100"/>
  <c r="I129" i="100"/>
  <c r="H129" i="100"/>
  <c r="G129" i="100"/>
  <c r="F128" i="100"/>
  <c r="F127" i="100"/>
  <c r="J126" i="100"/>
  <c r="I126" i="100"/>
  <c r="H126" i="100"/>
  <c r="G126" i="100"/>
  <c r="F126" i="100"/>
  <c r="F125" i="100"/>
  <c r="F124" i="100"/>
  <c r="F123" i="100"/>
  <c r="J122" i="100"/>
  <c r="J121" i="100" s="1"/>
  <c r="J120" i="100" s="1"/>
  <c r="I122" i="100"/>
  <c r="I121" i="100" s="1"/>
  <c r="H122" i="100"/>
  <c r="H121" i="100" s="1"/>
  <c r="H120" i="100" s="1"/>
  <c r="G122" i="100"/>
  <c r="G121" i="100" s="1"/>
  <c r="G120" i="100" s="1"/>
  <c r="F122" i="100"/>
  <c r="F121" i="100" s="1"/>
  <c r="F119" i="100"/>
  <c r="F118" i="100"/>
  <c r="J117" i="100"/>
  <c r="I117" i="100"/>
  <c r="H117" i="100"/>
  <c r="G117" i="100"/>
  <c r="F116" i="100"/>
  <c r="F115" i="100"/>
  <c r="F114" i="100"/>
  <c r="F113" i="100"/>
  <c r="F112" i="100"/>
  <c r="F111" i="100"/>
  <c r="F110" i="100"/>
  <c r="F109" i="100"/>
  <c r="F108" i="100"/>
  <c r="F107" i="100"/>
  <c r="F106" i="100"/>
  <c r="F105" i="100"/>
  <c r="F104" i="100"/>
  <c r="F103" i="100"/>
  <c r="F102" i="100"/>
  <c r="F101" i="100"/>
  <c r="F100" i="100"/>
  <c r="F99" i="100"/>
  <c r="F98" i="100"/>
  <c r="F97" i="100"/>
  <c r="F96" i="100"/>
  <c r="F95" i="100"/>
  <c r="F94" i="100"/>
  <c r="F93" i="100"/>
  <c r="F92" i="100"/>
  <c r="F91" i="100"/>
  <c r="J90" i="100"/>
  <c r="J82" i="100" s="1"/>
  <c r="J81" i="100" s="1"/>
  <c r="I90" i="100"/>
  <c r="H90" i="100"/>
  <c r="G90" i="100"/>
  <c r="F90" i="100"/>
  <c r="F89" i="100"/>
  <c r="F88" i="100"/>
  <c r="F87" i="100"/>
  <c r="F86" i="100"/>
  <c r="F85" i="100"/>
  <c r="F84" i="100"/>
  <c r="J83" i="100"/>
  <c r="I83" i="100"/>
  <c r="I82" i="100" s="1"/>
  <c r="I81" i="100" s="1"/>
  <c r="H83" i="100"/>
  <c r="G83" i="100"/>
  <c r="G82" i="100"/>
  <c r="G81" i="100" s="1"/>
  <c r="F80" i="100"/>
  <c r="J79" i="100"/>
  <c r="I79" i="100"/>
  <c r="H79" i="100"/>
  <c r="G79" i="100"/>
  <c r="F79" i="100"/>
  <c r="F78" i="100"/>
  <c r="F77" i="100"/>
  <c r="J76" i="100"/>
  <c r="I76" i="100"/>
  <c r="I64" i="100" s="1"/>
  <c r="I63" i="100" s="1"/>
  <c r="H76" i="100"/>
  <c r="H64" i="100" s="1"/>
  <c r="H63" i="100" s="1"/>
  <c r="G76" i="100"/>
  <c r="F75" i="100"/>
  <c r="F74" i="100"/>
  <c r="F73" i="100"/>
  <c r="F72" i="100"/>
  <c r="F71" i="100"/>
  <c r="F70" i="100"/>
  <c r="F69" i="100"/>
  <c r="F68" i="100"/>
  <c r="F67" i="100"/>
  <c r="F66" i="100"/>
  <c r="F65" i="100" s="1"/>
  <c r="J65" i="100"/>
  <c r="J64" i="100" s="1"/>
  <c r="I65" i="100"/>
  <c r="H65" i="100"/>
  <c r="G65" i="100"/>
  <c r="G64" i="100" s="1"/>
  <c r="G63" i="100" s="1"/>
  <c r="F62" i="100"/>
  <c r="F61" i="100"/>
  <c r="J60" i="100"/>
  <c r="I60" i="100"/>
  <c r="H60" i="100"/>
  <c r="G60" i="100"/>
  <c r="F59" i="100"/>
  <c r="F58" i="100"/>
  <c r="F57" i="100"/>
  <c r="F55" i="100" s="1"/>
  <c r="F56" i="100"/>
  <c r="J55" i="100"/>
  <c r="J50" i="100" s="1"/>
  <c r="I55" i="100"/>
  <c r="H55" i="100"/>
  <c r="G55" i="100"/>
  <c r="F54" i="100"/>
  <c r="F53" i="100"/>
  <c r="F52" i="100"/>
  <c r="J51" i="100"/>
  <c r="I51" i="100"/>
  <c r="I50" i="100" s="1"/>
  <c r="I49" i="100" s="1"/>
  <c r="H51" i="100"/>
  <c r="G51" i="100"/>
  <c r="G50" i="100" s="1"/>
  <c r="G49" i="100" s="1"/>
  <c r="J49" i="100"/>
  <c r="F48" i="100"/>
  <c r="F46" i="100" s="1"/>
  <c r="F47" i="100"/>
  <c r="J46" i="100"/>
  <c r="I46" i="100"/>
  <c r="H46" i="100"/>
  <c r="G46" i="100"/>
  <c r="F45" i="100"/>
  <c r="F44" i="100"/>
  <c r="F43" i="100"/>
  <c r="F42" i="100"/>
  <c r="F41" i="100"/>
  <c r="F40" i="100"/>
  <c r="F39" i="100"/>
  <c r="F38" i="100"/>
  <c r="J37" i="100"/>
  <c r="I37" i="100"/>
  <c r="H37" i="100"/>
  <c r="G37" i="100"/>
  <c r="F36" i="100"/>
  <c r="F35" i="100"/>
  <c r="F34" i="100" s="1"/>
  <c r="J34" i="100"/>
  <c r="J33" i="100" s="1"/>
  <c r="I34" i="100"/>
  <c r="H34" i="100"/>
  <c r="G34" i="100"/>
  <c r="H33" i="100"/>
  <c r="F31" i="100"/>
  <c r="I30" i="100"/>
  <c r="I29" i="100" s="1"/>
  <c r="J29" i="100"/>
  <c r="H29" i="100"/>
  <c r="G29" i="100"/>
  <c r="F28" i="100"/>
  <c r="F27" i="100"/>
  <c r="F26" i="100"/>
  <c r="J25" i="100"/>
  <c r="I25" i="100"/>
  <c r="H25" i="100"/>
  <c r="G25" i="100"/>
  <c r="J24" i="100"/>
  <c r="F23" i="100"/>
  <c r="F22" i="100"/>
  <c r="F21" i="100"/>
  <c r="F20" i="100"/>
  <c r="F19" i="100"/>
  <c r="F18" i="100"/>
  <c r="F17" i="100"/>
  <c r="F16" i="100"/>
  <c r="J15" i="100"/>
  <c r="J10" i="100" s="1"/>
  <c r="I15" i="100"/>
  <c r="H15" i="100"/>
  <c r="G15" i="100"/>
  <c r="F14" i="100"/>
  <c r="F11" i="100" s="1"/>
  <c r="F13" i="100"/>
  <c r="F12" i="100"/>
  <c r="J11" i="100"/>
  <c r="I11" i="100"/>
  <c r="I10" i="100" s="1"/>
  <c r="H11" i="100"/>
  <c r="G11" i="100"/>
  <c r="G10" i="100" s="1"/>
  <c r="H10" i="100"/>
  <c r="F452" i="100" l="1"/>
  <c r="F451" i="100" s="1"/>
  <c r="F10" i="100"/>
  <c r="I24" i="100"/>
  <c r="F370" i="100"/>
  <c r="G368" i="100"/>
  <c r="G364" i="100" s="1"/>
  <c r="G363" i="100" s="1"/>
  <c r="G165" i="100"/>
  <c r="G164" i="100" s="1"/>
  <c r="F1105" i="100"/>
  <c r="F1113" i="100"/>
  <c r="H32" i="100"/>
  <c r="G33" i="100"/>
  <c r="G32" i="100" s="1"/>
  <c r="I191" i="100"/>
  <c r="I190" i="100" s="1"/>
  <c r="J313" i="100"/>
  <c r="I483" i="100"/>
  <c r="I482" i="100" s="1"/>
  <c r="F498" i="100"/>
  <c r="J568" i="100"/>
  <c r="J567" i="100" s="1"/>
  <c r="I711" i="100"/>
  <c r="J1044" i="100"/>
  <c r="J1042" i="100" s="1"/>
  <c r="H190" i="100"/>
  <c r="F25" i="100"/>
  <c r="I33" i="100"/>
  <c r="I32" i="100" s="1"/>
  <c r="F37" i="100"/>
  <c r="F33" i="100" s="1"/>
  <c r="F32" i="100" s="1"/>
  <c r="F223" i="100"/>
  <c r="F222" i="100" s="1"/>
  <c r="F15" i="100"/>
  <c r="J32" i="100"/>
  <c r="J63" i="100"/>
  <c r="J146" i="100"/>
  <c r="J145" i="100" s="1"/>
  <c r="H164" i="100"/>
  <c r="J222" i="100"/>
  <c r="F287" i="100"/>
  <c r="F310" i="100"/>
  <c r="J375" i="100"/>
  <c r="J374" i="100" s="1"/>
  <c r="I375" i="100"/>
  <c r="I374" i="100" s="1"/>
  <c r="G417" i="100"/>
  <c r="F419" i="100"/>
  <c r="I465" i="100"/>
  <c r="F555" i="100"/>
  <c r="F545" i="100" s="1"/>
  <c r="F544" i="100" s="1"/>
  <c r="F614" i="100"/>
  <c r="F851" i="100"/>
  <c r="F990" i="100"/>
  <c r="F986" i="100" s="1"/>
  <c r="F1010" i="100"/>
  <c r="F1019" i="100"/>
  <c r="F1017" i="100" s="1"/>
  <c r="G1248" i="100"/>
  <c r="F1248" i="100"/>
  <c r="I1269" i="100"/>
  <c r="I133" i="100"/>
  <c r="I132" i="100" s="1"/>
  <c r="G133" i="100"/>
  <c r="G132" i="100" s="1"/>
  <c r="F137" i="100"/>
  <c r="F133" i="100" s="1"/>
  <c r="F132" i="100" s="1"/>
  <c r="I146" i="100"/>
  <c r="I145" i="100" s="1"/>
  <c r="F174" i="100"/>
  <c r="H203" i="100"/>
  <c r="H202" i="100" s="1"/>
  <c r="F204" i="100"/>
  <c r="F203" i="100" s="1"/>
  <c r="F202" i="100" s="1"/>
  <c r="J203" i="100"/>
  <c r="J202" i="100" s="1"/>
  <c r="F232" i="100"/>
  <c r="F264" i="100"/>
  <c r="H268" i="100"/>
  <c r="H267" i="100" s="1"/>
  <c r="F276" i="100"/>
  <c r="F268" i="100" s="1"/>
  <c r="F267" i="100" s="1"/>
  <c r="F299" i="100"/>
  <c r="G339" i="100"/>
  <c r="G338" i="100" s="1"/>
  <c r="F349" i="100"/>
  <c r="F414" i="100"/>
  <c r="H418" i="100"/>
  <c r="H417" i="100" s="1"/>
  <c r="F475" i="100"/>
  <c r="J483" i="100"/>
  <c r="J482" i="100" s="1"/>
  <c r="F488" i="100"/>
  <c r="J496" i="100"/>
  <c r="F564" i="100"/>
  <c r="F578" i="100"/>
  <c r="J749" i="100"/>
  <c r="I820" i="100"/>
  <c r="I1105" i="100"/>
  <c r="G1234" i="100"/>
  <c r="H24" i="100"/>
  <c r="F60" i="100"/>
  <c r="H82" i="100"/>
  <c r="H81" i="100" s="1"/>
  <c r="F117" i="100"/>
  <c r="I120" i="100"/>
  <c r="F129" i="100"/>
  <c r="J133" i="100"/>
  <c r="J132" i="100" s="1"/>
  <c r="F151" i="100"/>
  <c r="F146" i="100" s="1"/>
  <c r="F145" i="100" s="1"/>
  <c r="F170" i="100"/>
  <c r="G179" i="100"/>
  <c r="G178" i="100" s="1"/>
  <c r="F179" i="100"/>
  <c r="F178" i="100" s="1"/>
  <c r="I179" i="100"/>
  <c r="I178" i="100" s="1"/>
  <c r="J178" i="100"/>
  <c r="F196" i="100"/>
  <c r="F190" i="100" s="1"/>
  <c r="F228" i="100"/>
  <c r="H237" i="100"/>
  <c r="H236" i="100" s="1"/>
  <c r="F244" i="100"/>
  <c r="F237" i="100" s="1"/>
  <c r="F236" i="100" s="1"/>
  <c r="G257" i="100"/>
  <c r="G256" i="100" s="1"/>
  <c r="F261" i="100"/>
  <c r="G268" i="100"/>
  <c r="G267" i="100" s="1"/>
  <c r="F269" i="100"/>
  <c r="H314" i="100"/>
  <c r="H313" i="100" s="1"/>
  <c r="F324" i="100"/>
  <c r="F314" i="100" s="1"/>
  <c r="F313" i="100" s="1"/>
  <c r="F340" i="100"/>
  <c r="F339" i="100" s="1"/>
  <c r="F338" i="100" s="1"/>
  <c r="J364" i="100"/>
  <c r="J363" i="100" s="1"/>
  <c r="H364" i="100"/>
  <c r="H363" i="100" s="1"/>
  <c r="F394" i="100"/>
  <c r="F484" i="100"/>
  <c r="F507" i="100"/>
  <c r="F497" i="100" s="1"/>
  <c r="F496" i="100" s="1"/>
  <c r="G521" i="100"/>
  <c r="F523" i="100"/>
  <c r="F532" i="100"/>
  <c r="J521" i="100"/>
  <c r="F546" i="100"/>
  <c r="I594" i="100"/>
  <c r="I617" i="100"/>
  <c r="F619" i="100"/>
  <c r="F618" i="100" s="1"/>
  <c r="J637" i="100"/>
  <c r="F701" i="100"/>
  <c r="F810" i="100"/>
  <c r="F806" i="100" s="1"/>
  <c r="F843" i="100"/>
  <c r="F911" i="100"/>
  <c r="F910" i="100" s="1"/>
  <c r="F927" i="100"/>
  <c r="F926" i="100" s="1"/>
  <c r="F925" i="100" s="1"/>
  <c r="F1036" i="100"/>
  <c r="F1032" i="100" s="1"/>
  <c r="F1031" i="100" s="1"/>
  <c r="F1029" i="100" s="1"/>
  <c r="H1139" i="100"/>
  <c r="F1307" i="100"/>
  <c r="F1295" i="100"/>
  <c r="F1294" i="100" s="1"/>
  <c r="F1335" i="100"/>
  <c r="J1392" i="100"/>
  <c r="J1391" i="100" s="1"/>
  <c r="F596" i="100"/>
  <c r="F595" i="100" s="1"/>
  <c r="J595" i="100"/>
  <c r="J594" i="100" s="1"/>
  <c r="G638" i="100"/>
  <c r="G637" i="100" s="1"/>
  <c r="G636" i="100" s="1"/>
  <c r="I690" i="100"/>
  <c r="I689" i="100" s="1"/>
  <c r="F694" i="100"/>
  <c r="J712" i="100"/>
  <c r="J711" i="100" s="1"/>
  <c r="H778" i="100"/>
  <c r="F779" i="100"/>
  <c r="F778" i="100" s="1"/>
  <c r="G778" i="100"/>
  <c r="G777" i="100" s="1"/>
  <c r="J821" i="100"/>
  <c r="J820" i="100" s="1"/>
  <c r="F840" i="100"/>
  <c r="F873" i="100"/>
  <c r="F903" i="100"/>
  <c r="J910" i="100"/>
  <c r="J925" i="100"/>
  <c r="I926" i="100"/>
  <c r="I925" i="100" s="1"/>
  <c r="F942" i="100"/>
  <c r="F941" i="100" s="1"/>
  <c r="F960" i="100"/>
  <c r="G1001" i="100"/>
  <c r="G1000" i="100" s="1"/>
  <c r="F1005" i="100"/>
  <c r="H1032" i="100"/>
  <c r="H1031" i="100" s="1"/>
  <c r="H1029" i="100" s="1"/>
  <c r="I1040" i="100"/>
  <c r="I1031" i="100" s="1"/>
  <c r="I1029" i="100" s="1"/>
  <c r="G1045" i="100"/>
  <c r="G1044" i="100" s="1"/>
  <c r="G1042" i="100" s="1"/>
  <c r="G1062" i="100"/>
  <c r="F1144" i="100"/>
  <c r="I1139" i="100"/>
  <c r="I1103" i="100" s="1"/>
  <c r="F1231" i="100"/>
  <c r="H1235" i="100"/>
  <c r="H1234" i="100" s="1"/>
  <c r="F1285" i="100"/>
  <c r="G1295" i="100"/>
  <c r="G1294" i="100" s="1"/>
  <c r="I1318" i="100"/>
  <c r="I1317" i="100" s="1"/>
  <c r="F1322" i="100"/>
  <c r="F1368" i="100"/>
  <c r="F1388" i="100"/>
  <c r="F1398" i="100"/>
  <c r="F1454" i="100"/>
  <c r="G1467" i="100"/>
  <c r="G1466" i="100" s="1"/>
  <c r="G595" i="100"/>
  <c r="G594" i="100" s="1"/>
  <c r="F633" i="100"/>
  <c r="H637" i="100"/>
  <c r="H636" i="100" s="1"/>
  <c r="F647" i="100"/>
  <c r="F637" i="100" s="1"/>
  <c r="F636" i="100" s="1"/>
  <c r="I636" i="100"/>
  <c r="I657" i="100"/>
  <c r="H690" i="100"/>
  <c r="H689" i="100" s="1"/>
  <c r="F691" i="100"/>
  <c r="G690" i="100"/>
  <c r="G689" i="100" s="1"/>
  <c r="F713" i="100"/>
  <c r="I805" i="100"/>
  <c r="H805" i="100"/>
  <c r="F822" i="100"/>
  <c r="F821" i="100" s="1"/>
  <c r="F820" i="100" s="1"/>
  <c r="G836" i="100"/>
  <c r="G835" i="100" s="1"/>
  <c r="I836" i="100"/>
  <c r="I835" i="100" s="1"/>
  <c r="J881" i="100"/>
  <c r="J880" i="100" s="1"/>
  <c r="H881" i="100"/>
  <c r="H880" i="100" s="1"/>
  <c r="H896" i="100"/>
  <c r="H895" i="100" s="1"/>
  <c r="F900" i="100"/>
  <c r="G926" i="100"/>
  <c r="G925" i="100" s="1"/>
  <c r="F948" i="100"/>
  <c r="G956" i="100"/>
  <c r="G955" i="100" s="1"/>
  <c r="I956" i="100"/>
  <c r="I955" i="100" s="1"/>
  <c r="I985" i="100"/>
  <c r="H985" i="100"/>
  <c r="J1001" i="100"/>
  <c r="J1032" i="100"/>
  <c r="J1031" i="100" s="1"/>
  <c r="J1029" i="100" s="1"/>
  <c r="G1083" i="100"/>
  <c r="F1096" i="100"/>
  <c r="F1083" i="100" s="1"/>
  <c r="F1082" i="100" s="1"/>
  <c r="F1204" i="100"/>
  <c r="F1239" i="100"/>
  <c r="H1392" i="100"/>
  <c r="H1391" i="100" s="1"/>
  <c r="H1416" i="100"/>
  <c r="H1415" i="100" s="1"/>
  <c r="F1420" i="100"/>
  <c r="H1439" i="100"/>
  <c r="H1438" i="100" s="1"/>
  <c r="H1436" i="100" s="1"/>
  <c r="D29" i="101"/>
  <c r="D24" i="102"/>
  <c r="F754" i="100"/>
  <c r="F750" i="100" s="1"/>
  <c r="F749" i="100" s="1"/>
  <c r="G806" i="100"/>
  <c r="G805" i="100" s="1"/>
  <c r="F828" i="100"/>
  <c r="H835" i="100"/>
  <c r="H850" i="100"/>
  <c r="F858" i="100"/>
  <c r="F870" i="100"/>
  <c r="F866" i="100" s="1"/>
  <c r="F865" i="100" s="1"/>
  <c r="F897" i="100"/>
  <c r="F896" i="100" s="1"/>
  <c r="F895" i="100" s="1"/>
  <c r="F945" i="100"/>
  <c r="I940" i="100"/>
  <c r="H970" i="100"/>
  <c r="G970" i="100"/>
  <c r="F978" i="100"/>
  <c r="G986" i="100"/>
  <c r="G985" i="100" s="1"/>
  <c r="F1079" i="100"/>
  <c r="J1082" i="100"/>
  <c r="J1059" i="100" s="1"/>
  <c r="H1113" i="100"/>
  <c r="H1103" i="100" s="1"/>
  <c r="F1131" i="100"/>
  <c r="F1141" i="100"/>
  <c r="F1140" i="100" s="1"/>
  <c r="F1139" i="100" s="1"/>
  <c r="H1271" i="100"/>
  <c r="H1317" i="100"/>
  <c r="G1364" i="100"/>
  <c r="G1363" i="100" s="1"/>
  <c r="J1364" i="100"/>
  <c r="J1363" i="100" s="1"/>
  <c r="J1269" i="100" s="1"/>
  <c r="F1405" i="100"/>
  <c r="G1415" i="100"/>
  <c r="F1417" i="100"/>
  <c r="I1438" i="100"/>
  <c r="I1436" i="100" s="1"/>
  <c r="F1443" i="100"/>
  <c r="F1439" i="100" s="1"/>
  <c r="F1438" i="100" s="1"/>
  <c r="F1436" i="100" s="1"/>
  <c r="G1493" i="100"/>
  <c r="G1492" i="100" s="1"/>
  <c r="F1494" i="100"/>
  <c r="I1492" i="100"/>
  <c r="J1493" i="100"/>
  <c r="J1492" i="100" s="1"/>
  <c r="F120" i="100"/>
  <c r="F165" i="100"/>
  <c r="F164" i="100" s="1"/>
  <c r="G190" i="100"/>
  <c r="F375" i="100"/>
  <c r="F374" i="100" s="1"/>
  <c r="I496" i="100"/>
  <c r="H777" i="100"/>
  <c r="J778" i="100"/>
  <c r="J777" i="100" s="1"/>
  <c r="H820" i="100"/>
  <c r="G24" i="100"/>
  <c r="G8" i="100" s="1"/>
  <c r="F257" i="100"/>
  <c r="F256" i="100" s="1"/>
  <c r="H466" i="100"/>
  <c r="H465" i="100" s="1"/>
  <c r="F30" i="100"/>
  <c r="F29" i="100" s="1"/>
  <c r="F24" i="100" s="1"/>
  <c r="H50" i="100"/>
  <c r="H49" i="100" s="1"/>
  <c r="F51" i="100"/>
  <c r="F50" i="100" s="1"/>
  <c r="F49" i="100" s="1"/>
  <c r="F76" i="100"/>
  <c r="F64" i="100" s="1"/>
  <c r="F63" i="100" s="1"/>
  <c r="F83" i="100"/>
  <c r="F82" i="100" s="1"/>
  <c r="H146" i="100"/>
  <c r="H145" i="100" s="1"/>
  <c r="F291" i="100"/>
  <c r="F290" i="100" s="1"/>
  <c r="I313" i="100"/>
  <c r="H338" i="100"/>
  <c r="F368" i="100"/>
  <c r="F364" i="100" s="1"/>
  <c r="F363" i="100" s="1"/>
  <c r="F430" i="100"/>
  <c r="F418" i="100" s="1"/>
  <c r="F417" i="100" s="1"/>
  <c r="F471" i="100"/>
  <c r="F466" i="100" s="1"/>
  <c r="F465" i="100" s="1"/>
  <c r="G483" i="100"/>
  <c r="G482" i="100" s="1"/>
  <c r="F483" i="100"/>
  <c r="F482" i="100" s="1"/>
  <c r="F617" i="100"/>
  <c r="G1082" i="100"/>
  <c r="H1269" i="100"/>
  <c r="G568" i="100"/>
  <c r="G567" i="100" s="1"/>
  <c r="F569" i="100"/>
  <c r="J636" i="100"/>
  <c r="G658" i="100"/>
  <c r="G657" i="100" s="1"/>
  <c r="F664" i="100"/>
  <c r="F724" i="100"/>
  <c r="F712" i="100" s="1"/>
  <c r="F711" i="100" s="1"/>
  <c r="F888" i="100"/>
  <c r="I1059" i="100"/>
  <c r="F659" i="100"/>
  <c r="F800" i="100"/>
  <c r="F777" i="100" s="1"/>
  <c r="F813" i="100"/>
  <c r="F805" i="100" s="1"/>
  <c r="F837" i="100"/>
  <c r="F836" i="100" s="1"/>
  <c r="F835" i="100" s="1"/>
  <c r="F885" i="100"/>
  <c r="F881" i="100" s="1"/>
  <c r="F933" i="100"/>
  <c r="F957" i="100"/>
  <c r="F956" i="100" s="1"/>
  <c r="F955" i="100" s="1"/>
  <c r="F971" i="100"/>
  <c r="F970" i="100" s="1"/>
  <c r="G1103" i="100"/>
  <c r="F1001" i="100"/>
  <c r="F1000" i="100" s="1"/>
  <c r="J1000" i="100"/>
  <c r="J803" i="100" s="1"/>
  <c r="J1438" i="100"/>
  <c r="J1436" i="100" s="1"/>
  <c r="F993" i="100"/>
  <c r="F985" i="100" s="1"/>
  <c r="F1046" i="100"/>
  <c r="F1045" i="100" s="1"/>
  <c r="F1044" i="100" s="1"/>
  <c r="F1042" i="100" s="1"/>
  <c r="G1061" i="100"/>
  <c r="G1059" i="100" s="1"/>
  <c r="F1063" i="100"/>
  <c r="F1062" i="100" s="1"/>
  <c r="F1087" i="100"/>
  <c r="J1140" i="100"/>
  <c r="J1139" i="100" s="1"/>
  <c r="J1103" i="100" s="1"/>
  <c r="F1191" i="100"/>
  <c r="F1187" i="100" s="1"/>
  <c r="F1186" i="100" s="1"/>
  <c r="F1236" i="100"/>
  <c r="F1235" i="100" s="1"/>
  <c r="F1234" i="100" s="1"/>
  <c r="G1272" i="100"/>
  <c r="G1271" i="100" s="1"/>
  <c r="F1273" i="100"/>
  <c r="F1272" i="100" s="1"/>
  <c r="F1271" i="100" s="1"/>
  <c r="F1365" i="100"/>
  <c r="G1392" i="100"/>
  <c r="G1391" i="100" s="1"/>
  <c r="F1393" i="100"/>
  <c r="F1392" i="100" s="1"/>
  <c r="F1391" i="100" s="1"/>
  <c r="F1429" i="100"/>
  <c r="F1416" i="100" s="1"/>
  <c r="F1415" i="100" s="1"/>
  <c r="F1478" i="100"/>
  <c r="F1467" i="100" s="1"/>
  <c r="F1466" i="100" s="1"/>
  <c r="F1497" i="100"/>
  <c r="G1269" i="100" l="1"/>
  <c r="H8" i="100"/>
  <c r="F940" i="100"/>
  <c r="F522" i="100"/>
  <c r="F521" i="100" s="1"/>
  <c r="F1493" i="100"/>
  <c r="F1492" i="100" s="1"/>
  <c r="F880" i="100"/>
  <c r="F658" i="100"/>
  <c r="F657" i="100" s="1"/>
  <c r="F8" i="100" s="1"/>
  <c r="F568" i="100"/>
  <c r="F567" i="100" s="1"/>
  <c r="F81" i="100"/>
  <c r="G803" i="100"/>
  <c r="I803" i="100"/>
  <c r="F1318" i="100"/>
  <c r="F1317" i="100" s="1"/>
  <c r="J8" i="100"/>
  <c r="F690" i="100"/>
  <c r="F689" i="100" s="1"/>
  <c r="F594" i="100"/>
  <c r="F1364" i="100"/>
  <c r="F1363" i="100" s="1"/>
  <c r="F1103" i="100"/>
  <c r="F1061" i="100"/>
  <c r="I8" i="100"/>
  <c r="I1518" i="100" s="1"/>
  <c r="H803" i="100"/>
  <c r="F850" i="100"/>
  <c r="F803" i="100" s="1"/>
  <c r="J1518" i="100"/>
  <c r="H1518" i="100"/>
  <c r="F1269" i="100"/>
  <c r="G1518" i="100"/>
  <c r="F1059" i="100"/>
  <c r="F1518" i="100" l="1"/>
  <c r="Q533" i="99" l="1"/>
  <c r="D24" i="99"/>
  <c r="C24" i="99"/>
  <c r="D22" i="99"/>
  <c r="D21" i="99" s="1"/>
  <c r="C22" i="99"/>
  <c r="D16" i="99"/>
  <c r="C16" i="99"/>
  <c r="D14" i="99"/>
  <c r="C14" i="99"/>
  <c r="D8" i="99"/>
  <c r="C8" i="99"/>
  <c r="C4" i="99" s="1"/>
  <c r="D5" i="99"/>
  <c r="D4" i="99" s="1"/>
  <c r="C5" i="99"/>
  <c r="Q534" i="98"/>
  <c r="G22" i="98"/>
  <c r="F22" i="98" s="1"/>
  <c r="G21" i="98"/>
  <c r="F21" i="98" s="1"/>
  <c r="F20" i="98" s="1"/>
  <c r="K20" i="98"/>
  <c r="K23" i="98" s="1"/>
  <c r="J20" i="98"/>
  <c r="I20" i="98"/>
  <c r="H20" i="98"/>
  <c r="G20" i="98"/>
  <c r="G19" i="98"/>
  <c r="F19" i="98" s="1"/>
  <c r="F18" i="98" s="1"/>
  <c r="K18" i="98"/>
  <c r="J18" i="98"/>
  <c r="I18" i="98"/>
  <c r="I23" i="98" s="1"/>
  <c r="H18" i="98"/>
  <c r="J10" i="98"/>
  <c r="J9" i="98"/>
  <c r="J7" i="98"/>
  <c r="J6" i="98" s="1"/>
  <c r="Q536" i="97"/>
  <c r="Q534" i="96"/>
  <c r="G7" i="96"/>
  <c r="F7" i="96"/>
  <c r="E6" i="96"/>
  <c r="E7" i="96" s="1"/>
  <c r="Q540" i="95"/>
  <c r="H57" i="95"/>
  <c r="G57" i="95"/>
  <c r="E43" i="95"/>
  <c r="E41" i="95"/>
  <c r="E39" i="95"/>
  <c r="E37" i="95"/>
  <c r="E33" i="95"/>
  <c r="E31" i="95"/>
  <c r="E29" i="95"/>
  <c r="E28" i="95"/>
  <c r="E26" i="95"/>
  <c r="E24" i="95"/>
  <c r="E22" i="95"/>
  <c r="E16" i="95"/>
  <c r="E15" i="95"/>
  <c r="E14" i="95"/>
  <c r="E11" i="95"/>
  <c r="E7" i="95"/>
  <c r="E57" i="95" l="1"/>
  <c r="H23" i="98"/>
  <c r="F23" i="98"/>
  <c r="G18" i="98"/>
  <c r="G23" i="98" s="1"/>
  <c r="J13" i="98"/>
  <c r="J23" i="98"/>
  <c r="D26" i="99"/>
  <c r="C21" i="99"/>
  <c r="C26" i="99" s="1"/>
  <c r="E2608" i="94"/>
  <c r="E2607" i="94"/>
  <c r="S2597" i="94"/>
  <c r="R2597" i="94"/>
  <c r="R10" i="94" s="1"/>
  <c r="Q2597" i="94"/>
  <c r="N2597" i="94"/>
  <c r="M2597" i="94"/>
  <c r="K2597" i="94"/>
  <c r="J2597" i="94"/>
  <c r="I2597" i="94"/>
  <c r="H2596" i="94"/>
  <c r="F2596" i="94" s="1"/>
  <c r="G2596" i="94" s="1"/>
  <c r="H2595" i="94"/>
  <c r="E2595" i="94"/>
  <c r="H2594" i="94"/>
  <c r="E2594" i="94"/>
  <c r="H2593" i="94"/>
  <c r="F2593" i="94" s="1"/>
  <c r="H2592" i="94"/>
  <c r="E2592" i="94"/>
  <c r="H2591" i="94"/>
  <c r="E2591" i="94"/>
  <c r="H2590" i="94"/>
  <c r="H2589" i="94"/>
  <c r="F2589" i="94" s="1"/>
  <c r="G2589" i="94" s="1"/>
  <c r="H2588" i="94"/>
  <c r="E2588" i="94"/>
  <c r="E2587" i="94" s="1"/>
  <c r="H2587" i="94"/>
  <c r="H2586" i="94"/>
  <c r="H2585" i="94"/>
  <c r="F2585" i="94" s="1"/>
  <c r="G2585" i="94" s="1"/>
  <c r="H2584" i="94"/>
  <c r="F2584" i="94" s="1"/>
  <c r="H2583" i="94"/>
  <c r="E2583" i="94"/>
  <c r="H2582" i="94"/>
  <c r="H2581" i="94"/>
  <c r="F2581" i="94" s="1"/>
  <c r="G2581" i="94" s="1"/>
  <c r="H2580" i="94"/>
  <c r="G2580" i="94"/>
  <c r="F2580" i="94"/>
  <c r="H2579" i="94"/>
  <c r="F2579" i="94" s="1"/>
  <c r="H2578" i="94"/>
  <c r="E2578" i="94"/>
  <c r="H2577" i="94"/>
  <c r="H2576" i="94"/>
  <c r="F2576" i="94" s="1"/>
  <c r="H2575" i="94"/>
  <c r="F2575" i="94" s="1"/>
  <c r="G2575" i="94" s="1"/>
  <c r="H2574" i="94"/>
  <c r="E2574" i="94"/>
  <c r="H2573" i="94"/>
  <c r="H2572" i="94"/>
  <c r="F2572" i="94" s="1"/>
  <c r="G2572" i="94"/>
  <c r="H2571" i="94"/>
  <c r="F2571" i="94" s="1"/>
  <c r="H2570" i="94"/>
  <c r="E2570" i="94"/>
  <c r="E2569" i="94" s="1"/>
  <c r="H2569" i="94"/>
  <c r="H2568" i="94"/>
  <c r="H2567" i="94"/>
  <c r="H2566" i="94"/>
  <c r="F2566" i="94" s="1"/>
  <c r="H2565" i="94"/>
  <c r="E2565" i="94"/>
  <c r="E2564" i="94" s="1"/>
  <c r="E2563" i="94" s="1"/>
  <c r="H2564" i="94"/>
  <c r="H2563" i="94"/>
  <c r="H2562" i="94"/>
  <c r="F2562" i="94"/>
  <c r="H2561" i="94"/>
  <c r="E2561" i="94"/>
  <c r="H2560" i="94"/>
  <c r="E2560" i="94"/>
  <c r="E2556" i="94" s="1"/>
  <c r="H2559" i="94"/>
  <c r="F2559" i="94" s="1"/>
  <c r="G2559" i="94"/>
  <c r="H2558" i="94"/>
  <c r="G2558" i="94"/>
  <c r="F2558" i="94"/>
  <c r="E2558" i="94"/>
  <c r="H2557" i="94"/>
  <c r="G2557" i="94"/>
  <c r="F2557" i="94"/>
  <c r="E2557" i="94"/>
  <c r="H2556" i="94"/>
  <c r="H2555" i="94"/>
  <c r="H2554" i="94"/>
  <c r="F2554" i="94" s="1"/>
  <c r="H2553" i="94"/>
  <c r="E2553" i="94"/>
  <c r="H2552" i="94"/>
  <c r="H2551" i="94"/>
  <c r="F2551" i="94" s="1"/>
  <c r="G2551" i="94" s="1"/>
  <c r="H2550" i="94"/>
  <c r="F2550" i="94"/>
  <c r="H2549" i="94"/>
  <c r="E2549" i="94"/>
  <c r="E2545" i="94" s="1"/>
  <c r="E2544" i="94" s="1"/>
  <c r="E2543" i="94" s="1"/>
  <c r="H2548" i="94"/>
  <c r="H2547" i="94"/>
  <c r="F2547" i="94" s="1"/>
  <c r="G2547" i="94" s="1"/>
  <c r="H2546" i="94"/>
  <c r="E2546" i="94"/>
  <c r="H2545" i="94"/>
  <c r="H2544" i="94"/>
  <c r="H2543" i="94"/>
  <c r="H2542" i="94"/>
  <c r="F2542" i="94" s="1"/>
  <c r="G2542" i="94" s="1"/>
  <c r="H2541" i="94"/>
  <c r="F2541" i="94" s="1"/>
  <c r="G2541" i="94" s="1"/>
  <c r="H2540" i="94"/>
  <c r="F2540" i="94" s="1"/>
  <c r="H2539" i="94"/>
  <c r="E2539" i="94"/>
  <c r="H2538" i="94"/>
  <c r="H2537" i="94"/>
  <c r="F2537" i="94" s="1"/>
  <c r="G2537" i="94" s="1"/>
  <c r="H2536" i="94"/>
  <c r="F2536" i="94"/>
  <c r="G2536" i="94" s="1"/>
  <c r="H2535" i="94"/>
  <c r="E2535" i="94"/>
  <c r="H2534" i="94"/>
  <c r="H2533" i="94"/>
  <c r="F2533" i="94" s="1"/>
  <c r="G2533" i="94" s="1"/>
  <c r="H2532" i="94"/>
  <c r="F2532" i="94" s="1"/>
  <c r="G2532" i="94" s="1"/>
  <c r="H2531" i="94"/>
  <c r="F2531" i="94" s="1"/>
  <c r="G2531" i="94"/>
  <c r="H2530" i="94"/>
  <c r="F2530" i="94" s="1"/>
  <c r="G2530" i="94" s="1"/>
  <c r="H2529" i="94"/>
  <c r="F2529" i="94"/>
  <c r="G2529" i="94" s="1"/>
  <c r="H2528" i="94"/>
  <c r="F2528" i="94"/>
  <c r="G2528" i="94" s="1"/>
  <c r="H2527" i="94"/>
  <c r="F2527" i="94" s="1"/>
  <c r="G2527" i="94" s="1"/>
  <c r="H2526" i="94"/>
  <c r="F2526" i="94" s="1"/>
  <c r="G2526" i="94" s="1"/>
  <c r="H2525" i="94"/>
  <c r="F2525" i="94"/>
  <c r="G2525" i="94" s="1"/>
  <c r="H2524" i="94"/>
  <c r="F2524" i="94" s="1"/>
  <c r="G2524" i="94" s="1"/>
  <c r="H2523" i="94"/>
  <c r="F2523" i="94" s="1"/>
  <c r="G2523" i="94" s="1"/>
  <c r="H2522" i="94"/>
  <c r="F2522" i="94" s="1"/>
  <c r="G2522" i="94" s="1"/>
  <c r="H2521" i="94"/>
  <c r="F2521" i="94" s="1"/>
  <c r="G2521" i="94" s="1"/>
  <c r="H2520" i="94"/>
  <c r="F2520" i="94" s="1"/>
  <c r="G2520" i="94" s="1"/>
  <c r="H2519" i="94"/>
  <c r="F2519" i="94" s="1"/>
  <c r="G2519" i="94" s="1"/>
  <c r="H2518" i="94"/>
  <c r="G2518" i="94"/>
  <c r="F2518" i="94"/>
  <c r="H2517" i="94"/>
  <c r="F2517" i="94" s="1"/>
  <c r="H2516" i="94"/>
  <c r="E2516" i="94"/>
  <c r="H2515" i="94"/>
  <c r="H2514" i="94"/>
  <c r="G2514" i="94"/>
  <c r="F2514" i="94"/>
  <c r="H2513" i="94"/>
  <c r="F2513" i="94" s="1"/>
  <c r="G2513" i="94" s="1"/>
  <c r="H2512" i="94"/>
  <c r="F2512" i="94" s="1"/>
  <c r="G2512" i="94" s="1"/>
  <c r="H2511" i="94"/>
  <c r="F2511" i="94" s="1"/>
  <c r="G2511" i="94" s="1"/>
  <c r="H2510" i="94"/>
  <c r="F2510" i="94" s="1"/>
  <c r="G2510" i="94" s="1"/>
  <c r="H2509" i="94"/>
  <c r="F2509" i="94" s="1"/>
  <c r="H2508" i="94"/>
  <c r="E2508" i="94"/>
  <c r="H2507" i="94"/>
  <c r="E2507" i="94"/>
  <c r="H2506" i="94"/>
  <c r="H2505" i="94"/>
  <c r="H2504" i="94"/>
  <c r="F2504" i="94" s="1"/>
  <c r="H2503" i="94"/>
  <c r="E2503" i="94"/>
  <c r="E2502" i="94" s="1"/>
  <c r="E2501" i="94" s="1"/>
  <c r="H2502" i="94"/>
  <c r="H2501" i="94"/>
  <c r="H2500" i="94"/>
  <c r="H2499" i="94"/>
  <c r="F2499" i="94" s="1"/>
  <c r="G2499" i="94" s="1"/>
  <c r="H2498" i="94"/>
  <c r="F2498" i="94" s="1"/>
  <c r="G2498" i="94" s="1"/>
  <c r="H2497" i="94"/>
  <c r="F2497" i="94"/>
  <c r="H2496" i="94"/>
  <c r="F2496" i="94" s="1"/>
  <c r="G2496" i="94" s="1"/>
  <c r="H2495" i="94"/>
  <c r="E2495" i="94"/>
  <c r="H2494" i="94"/>
  <c r="H2493" i="94"/>
  <c r="F2493" i="94" s="1"/>
  <c r="G2493" i="94" s="1"/>
  <c r="H2492" i="94"/>
  <c r="F2492" i="94" s="1"/>
  <c r="G2492" i="94" s="1"/>
  <c r="E2492" i="94"/>
  <c r="E2487" i="94" s="1"/>
  <c r="E2486" i="94" s="1"/>
  <c r="H2491" i="94"/>
  <c r="F2491" i="94"/>
  <c r="G2491" i="94" s="1"/>
  <c r="H2490" i="94"/>
  <c r="G2490" i="94"/>
  <c r="F2490" i="94"/>
  <c r="H2489" i="94"/>
  <c r="F2489" i="94" s="1"/>
  <c r="H2488" i="94"/>
  <c r="F2488" i="94" s="1"/>
  <c r="G2488" i="94" s="1"/>
  <c r="H2487" i="94"/>
  <c r="H2486" i="94"/>
  <c r="H2485" i="94"/>
  <c r="H2484" i="94"/>
  <c r="F2484" i="94" s="1"/>
  <c r="G2484" i="94" s="1"/>
  <c r="H2483" i="94"/>
  <c r="F2483" i="94"/>
  <c r="G2483" i="94" s="1"/>
  <c r="H2482" i="94"/>
  <c r="F2482" i="94"/>
  <c r="G2482" i="94" s="1"/>
  <c r="H2481" i="94"/>
  <c r="F2481" i="94" s="1"/>
  <c r="G2481" i="94" s="1"/>
  <c r="H2480" i="94"/>
  <c r="F2480" i="94" s="1"/>
  <c r="G2480" i="94" s="1"/>
  <c r="H2479" i="94"/>
  <c r="F2479" i="94" s="1"/>
  <c r="G2479" i="94" s="1"/>
  <c r="H2478" i="94"/>
  <c r="G2478" i="94"/>
  <c r="F2478" i="94"/>
  <c r="H2477" i="94"/>
  <c r="F2477" i="94" s="1"/>
  <c r="G2477" i="94" s="1"/>
  <c r="H2476" i="94"/>
  <c r="F2476" i="94" s="1"/>
  <c r="H2475" i="94"/>
  <c r="F2475" i="94"/>
  <c r="H2474" i="94"/>
  <c r="F2474" i="94" s="1"/>
  <c r="G2474" i="94" s="1"/>
  <c r="H2473" i="94"/>
  <c r="F2473" i="94" s="1"/>
  <c r="G2473" i="94" s="1"/>
  <c r="H2472" i="94"/>
  <c r="F2472" i="94"/>
  <c r="G2472" i="94" s="1"/>
  <c r="H2471" i="94"/>
  <c r="F2471" i="94" s="1"/>
  <c r="G2471" i="94" s="1"/>
  <c r="H2470" i="94"/>
  <c r="F2470" i="94" s="1"/>
  <c r="G2470" i="94" s="1"/>
  <c r="H2469" i="94"/>
  <c r="F2469" i="94" s="1"/>
  <c r="G2469" i="94" s="1"/>
  <c r="H2468" i="94"/>
  <c r="F2468" i="94" s="1"/>
  <c r="G2468" i="94" s="1"/>
  <c r="H2467" i="94"/>
  <c r="F2467" i="94" s="1"/>
  <c r="G2467" i="94" s="1"/>
  <c r="H2466" i="94"/>
  <c r="F2466" i="94" s="1"/>
  <c r="G2466" i="94" s="1"/>
  <c r="H2465" i="94"/>
  <c r="G2465" i="94"/>
  <c r="F2465" i="94"/>
  <c r="H2464" i="94"/>
  <c r="E2464" i="94"/>
  <c r="H2463" i="94"/>
  <c r="H2462" i="94"/>
  <c r="F2462" i="94" s="1"/>
  <c r="G2462" i="94" s="1"/>
  <c r="H2461" i="94"/>
  <c r="F2461" i="94" s="1"/>
  <c r="G2461" i="94" s="1"/>
  <c r="H2460" i="94"/>
  <c r="F2460" i="94" s="1"/>
  <c r="H2459" i="94"/>
  <c r="E2459" i="94"/>
  <c r="H2458" i="94"/>
  <c r="H2457" i="94"/>
  <c r="F2457" i="94" s="1"/>
  <c r="E2457" i="94"/>
  <c r="H2456" i="94"/>
  <c r="F2456" i="94" s="1"/>
  <c r="E2456" i="94"/>
  <c r="H2455" i="94"/>
  <c r="H2454" i="94"/>
  <c r="H2453" i="94"/>
  <c r="F2453" i="94"/>
  <c r="E2453" i="94"/>
  <c r="E2450" i="94" s="1"/>
  <c r="H2452" i="94"/>
  <c r="F2452" i="94" s="1"/>
  <c r="G2452" i="94" s="1"/>
  <c r="H2451" i="94"/>
  <c r="F2451" i="94" s="1"/>
  <c r="G2451" i="94" s="1"/>
  <c r="H2450" i="94"/>
  <c r="H2449" i="94"/>
  <c r="H2448" i="94"/>
  <c r="H2447" i="94"/>
  <c r="H2446" i="94"/>
  <c r="F2446" i="94" s="1"/>
  <c r="H2445" i="94"/>
  <c r="E2445" i="94"/>
  <c r="H2444" i="94"/>
  <c r="E2444" i="94"/>
  <c r="H2443" i="94"/>
  <c r="H2442" i="94"/>
  <c r="F2442" i="94"/>
  <c r="H2441" i="94"/>
  <c r="E2441" i="94"/>
  <c r="E2431" i="94" s="1"/>
  <c r="H2440" i="94"/>
  <c r="H2439" i="94"/>
  <c r="F2439" i="94" s="1"/>
  <c r="G2439" i="94" s="1"/>
  <c r="H2438" i="94"/>
  <c r="F2438" i="94" s="1"/>
  <c r="G2438" i="94" s="1"/>
  <c r="H2437" i="94"/>
  <c r="F2437" i="94" s="1"/>
  <c r="H2436" i="94"/>
  <c r="E2436" i="94"/>
  <c r="H2435" i="94"/>
  <c r="H2434" i="94"/>
  <c r="F2434" i="94" s="1"/>
  <c r="H2433" i="94"/>
  <c r="E2433" i="94"/>
  <c r="H2432" i="94"/>
  <c r="E2432" i="94"/>
  <c r="H2431" i="94"/>
  <c r="H2430" i="94"/>
  <c r="H2429" i="94"/>
  <c r="F2429" i="94"/>
  <c r="G2429" i="94" s="1"/>
  <c r="H2428" i="94"/>
  <c r="F2428" i="94"/>
  <c r="G2428" i="94" s="1"/>
  <c r="H2427" i="94"/>
  <c r="F2427" i="94" s="1"/>
  <c r="H2426" i="94"/>
  <c r="E2426" i="94"/>
  <c r="H2425" i="94"/>
  <c r="E2425" i="94"/>
  <c r="H2424" i="94"/>
  <c r="H2423" i="94"/>
  <c r="F2423" i="94" s="1"/>
  <c r="G2423" i="94" s="1"/>
  <c r="H2422" i="94"/>
  <c r="F2422" i="94" s="1"/>
  <c r="G2422" i="94" s="1"/>
  <c r="H2421" i="94"/>
  <c r="G2421" i="94"/>
  <c r="F2421" i="94"/>
  <c r="H2420" i="94"/>
  <c r="E2420" i="94"/>
  <c r="H2419" i="94"/>
  <c r="E2419" i="94"/>
  <c r="E2418" i="94" s="1"/>
  <c r="H2418" i="94"/>
  <c r="H2417" i="94"/>
  <c r="F2417" i="94" s="1"/>
  <c r="G2417" i="94" s="1"/>
  <c r="H2416" i="94"/>
  <c r="F2416" i="94" s="1"/>
  <c r="H2415" i="94"/>
  <c r="E2415" i="94"/>
  <c r="E2414" i="94" s="1"/>
  <c r="H2414" i="94"/>
  <c r="H2413" i="94"/>
  <c r="H2412" i="94"/>
  <c r="F2412" i="94" s="1"/>
  <c r="G2412" i="94" s="1"/>
  <c r="H2411" i="94"/>
  <c r="F2411" i="94" s="1"/>
  <c r="H2410" i="94"/>
  <c r="E2410" i="94"/>
  <c r="H2409" i="94"/>
  <c r="E2409" i="94"/>
  <c r="E2408" i="94" s="1"/>
  <c r="H2408" i="94"/>
  <c r="H2407" i="94"/>
  <c r="F2407" i="94" s="1"/>
  <c r="G2407" i="94" s="1"/>
  <c r="H2406" i="94"/>
  <c r="E2406" i="94"/>
  <c r="H2405" i="94"/>
  <c r="E2405" i="94"/>
  <c r="H2404" i="94"/>
  <c r="H2403" i="94"/>
  <c r="F2403" i="94"/>
  <c r="G2403" i="94" s="1"/>
  <c r="H2402" i="94"/>
  <c r="F2402" i="94"/>
  <c r="H2401" i="94"/>
  <c r="E2401" i="94"/>
  <c r="E2400" i="94" s="1"/>
  <c r="E2399" i="94" s="1"/>
  <c r="H2400" i="94"/>
  <c r="H2399" i="94"/>
  <c r="H2398" i="94"/>
  <c r="F2398" i="94" s="1"/>
  <c r="F2397" i="94" s="1"/>
  <c r="F2396" i="94" s="1"/>
  <c r="H2397" i="94"/>
  <c r="E2397" i="94"/>
  <c r="E2396" i="94" s="1"/>
  <c r="H2394" i="94"/>
  <c r="F2394" i="94" s="1"/>
  <c r="G2394" i="94" s="1"/>
  <c r="H2393" i="94"/>
  <c r="F2393" i="94" s="1"/>
  <c r="H2392" i="94"/>
  <c r="F2392" i="94" s="1"/>
  <c r="G2392" i="94" s="1"/>
  <c r="H2391" i="94"/>
  <c r="E2391" i="94"/>
  <c r="H2390" i="94"/>
  <c r="E2390" i="94"/>
  <c r="E2389" i="94" s="1"/>
  <c r="H2389" i="94"/>
  <c r="H2388" i="94"/>
  <c r="F2388" i="94" s="1"/>
  <c r="H2387" i="94"/>
  <c r="F2387" i="94" s="1"/>
  <c r="G2387" i="94" s="1"/>
  <c r="H2386" i="94"/>
  <c r="E2386" i="94"/>
  <c r="H2385" i="94"/>
  <c r="H2384" i="94"/>
  <c r="F2384" i="94" s="1"/>
  <c r="G2384" i="94" s="1"/>
  <c r="H2383" i="94"/>
  <c r="F2383" i="94" s="1"/>
  <c r="H2382" i="94"/>
  <c r="F2382" i="94" s="1"/>
  <c r="G2382" i="94" s="1"/>
  <c r="H2381" i="94"/>
  <c r="F2381" i="94" s="1"/>
  <c r="G2381" i="94" s="1"/>
  <c r="H2380" i="94"/>
  <c r="F2380" i="94" s="1"/>
  <c r="H2379" i="94"/>
  <c r="E2379" i="94"/>
  <c r="E2378" i="94" s="1"/>
  <c r="H2378" i="94"/>
  <c r="H2377" i="94"/>
  <c r="H2376" i="94"/>
  <c r="F2376" i="94" s="1"/>
  <c r="G2376" i="94" s="1"/>
  <c r="H2375" i="94"/>
  <c r="F2375" i="94" s="1"/>
  <c r="G2375" i="94" s="1"/>
  <c r="H2374" i="94"/>
  <c r="F2374" i="94" s="1"/>
  <c r="H2373" i="94"/>
  <c r="E2373" i="94"/>
  <c r="H2372" i="94"/>
  <c r="E2372" i="94"/>
  <c r="H2371" i="94"/>
  <c r="H2370" i="94"/>
  <c r="F2370" i="94" s="1"/>
  <c r="F2369" i="94" s="1"/>
  <c r="E2369" i="94"/>
  <c r="E2368" i="94" s="1"/>
  <c r="E2362" i="94" s="1"/>
  <c r="H2366" i="94"/>
  <c r="F2366" i="94" s="1"/>
  <c r="G2366" i="94"/>
  <c r="H2365" i="94"/>
  <c r="F2365" i="94"/>
  <c r="F2364" i="94" s="1"/>
  <c r="G2364" i="94" s="1"/>
  <c r="H2364" i="94"/>
  <c r="E2364" i="94"/>
  <c r="E2363" i="94" s="1"/>
  <c r="H2363" i="94"/>
  <c r="F2363" i="94"/>
  <c r="H2362" i="94"/>
  <c r="H2361" i="94"/>
  <c r="F2361" i="94"/>
  <c r="H2360" i="94"/>
  <c r="E2360" i="94"/>
  <c r="E2359" i="94" s="1"/>
  <c r="H2359" i="94"/>
  <c r="H2358" i="94"/>
  <c r="H2357" i="94"/>
  <c r="F2357" i="94"/>
  <c r="G2357" i="94" s="1"/>
  <c r="H2356" i="94"/>
  <c r="F2356" i="94" s="1"/>
  <c r="H2355" i="94"/>
  <c r="E2355" i="94"/>
  <c r="E2354" i="94" s="1"/>
  <c r="H2354" i="94"/>
  <c r="H2353" i="94"/>
  <c r="H2352" i="94"/>
  <c r="F2352" i="94" s="1"/>
  <c r="G2352" i="94"/>
  <c r="H2351" i="94"/>
  <c r="F2351" i="94"/>
  <c r="F2350" i="94" s="1"/>
  <c r="G2350" i="94" s="1"/>
  <c r="H2350" i="94"/>
  <c r="E2350" i="94"/>
  <c r="E2349" i="94" s="1"/>
  <c r="H2349" i="94"/>
  <c r="F2349" i="94"/>
  <c r="G2349" i="94" s="1"/>
  <c r="H2347" i="94"/>
  <c r="F2347" i="94"/>
  <c r="G2347" i="94" s="1"/>
  <c r="H2346" i="94"/>
  <c r="F2346" i="94" s="1"/>
  <c r="H2345" i="94"/>
  <c r="E2345" i="94"/>
  <c r="H2344" i="94"/>
  <c r="H2343" i="94"/>
  <c r="F2343" i="94" s="1"/>
  <c r="G2343" i="94" s="1"/>
  <c r="H2342" i="94"/>
  <c r="F2342" i="94" s="1"/>
  <c r="H2341" i="94"/>
  <c r="E2341" i="94"/>
  <c r="E2336" i="94" s="1"/>
  <c r="H2340" i="94"/>
  <c r="H2339" i="94"/>
  <c r="F2339" i="94" s="1"/>
  <c r="G2339" i="94" s="1"/>
  <c r="H2338" i="94"/>
  <c r="F2338" i="94"/>
  <c r="G2338" i="94" s="1"/>
  <c r="E2338" i="94"/>
  <c r="H2337" i="94"/>
  <c r="F2337" i="94"/>
  <c r="G2337" i="94" s="1"/>
  <c r="E2337" i="94"/>
  <c r="H2336" i="94"/>
  <c r="H2335" i="94"/>
  <c r="H2334" i="94"/>
  <c r="H2333" i="94"/>
  <c r="F2333" i="94" s="1"/>
  <c r="G2333" i="94" s="1"/>
  <c r="H2332" i="94"/>
  <c r="F2332" i="94" s="1"/>
  <c r="H2331" i="94"/>
  <c r="E2331" i="94"/>
  <c r="E2330" i="94" s="1"/>
  <c r="H2330" i="94"/>
  <c r="H2329" i="94"/>
  <c r="H2328" i="94"/>
  <c r="F2328" i="94" s="1"/>
  <c r="H2327" i="94"/>
  <c r="E2327" i="94"/>
  <c r="H2326" i="94"/>
  <c r="H2325" i="94"/>
  <c r="F2325" i="94"/>
  <c r="G2325" i="94" s="1"/>
  <c r="H2324" i="94"/>
  <c r="F2324" i="94" s="1"/>
  <c r="G2324" i="94" s="1"/>
  <c r="H2323" i="94"/>
  <c r="F2323" i="94" s="1"/>
  <c r="G2323" i="94" s="1"/>
  <c r="H2322" i="94"/>
  <c r="F2322" i="94" s="1"/>
  <c r="H2321" i="94"/>
  <c r="E2321" i="94"/>
  <c r="H2320" i="94"/>
  <c r="H2319" i="94"/>
  <c r="F2319" i="94"/>
  <c r="G2319" i="94" s="1"/>
  <c r="H2318" i="94"/>
  <c r="F2318" i="94"/>
  <c r="H2317" i="94"/>
  <c r="F2317" i="94" s="1"/>
  <c r="G2317" i="94" s="1"/>
  <c r="H2316" i="94"/>
  <c r="F2316" i="94" s="1"/>
  <c r="G2316" i="94" s="1"/>
  <c r="H2315" i="94"/>
  <c r="E2315" i="94"/>
  <c r="H2314" i="94"/>
  <c r="H2313" i="94"/>
  <c r="H2312" i="94"/>
  <c r="H2311" i="94"/>
  <c r="F2311" i="94"/>
  <c r="H2310" i="94"/>
  <c r="F2310" i="94"/>
  <c r="G2310" i="94" s="1"/>
  <c r="H2309" i="94"/>
  <c r="E2309" i="94"/>
  <c r="H2308" i="94"/>
  <c r="F2308" i="94" s="1"/>
  <c r="H2307" i="94"/>
  <c r="F2307" i="94" s="1"/>
  <c r="G2307" i="94" s="1"/>
  <c r="H2306" i="94"/>
  <c r="F2306" i="94" s="1"/>
  <c r="G2306" i="94" s="1"/>
  <c r="H2305" i="94"/>
  <c r="E2305" i="94"/>
  <c r="E2304" i="94" s="1"/>
  <c r="E2303" i="94" s="1"/>
  <c r="E2302" i="94" s="1"/>
  <c r="H2304" i="94"/>
  <c r="H2303" i="94"/>
  <c r="H2302" i="94"/>
  <c r="H2301" i="94"/>
  <c r="F2301" i="94" s="1"/>
  <c r="H2300" i="94"/>
  <c r="F2300" i="94" s="1"/>
  <c r="G2300" i="94" s="1"/>
  <c r="H2299" i="94"/>
  <c r="E2299" i="94"/>
  <c r="H2298" i="94"/>
  <c r="H2297" i="94"/>
  <c r="F2297" i="94" s="1"/>
  <c r="G2297" i="94" s="1"/>
  <c r="H2296" i="94"/>
  <c r="F2296" i="94" s="1"/>
  <c r="G2296" i="94" s="1"/>
  <c r="H2295" i="94"/>
  <c r="F2295" i="94" s="1"/>
  <c r="H2294" i="94"/>
  <c r="E2294" i="94"/>
  <c r="H2293" i="94"/>
  <c r="H2292" i="94"/>
  <c r="H2291" i="94"/>
  <c r="H2290" i="94"/>
  <c r="F2290" i="94"/>
  <c r="G2290" i="94" s="1"/>
  <c r="H2289" i="94"/>
  <c r="F2289" i="94" s="1"/>
  <c r="H2288" i="94"/>
  <c r="E2288" i="94"/>
  <c r="H2287" i="94"/>
  <c r="H2286" i="94"/>
  <c r="F2286" i="94" s="1"/>
  <c r="G2286" i="94" s="1"/>
  <c r="H2285" i="94"/>
  <c r="F2285" i="94" s="1"/>
  <c r="G2285" i="94" s="1"/>
  <c r="H2284" i="94"/>
  <c r="F2284" i="94"/>
  <c r="H2283" i="94"/>
  <c r="E2283" i="94"/>
  <c r="E2282" i="94" s="1"/>
  <c r="E2281" i="94" s="1"/>
  <c r="E2280" i="94" s="1"/>
  <c r="H2282" i="94"/>
  <c r="H2281" i="94"/>
  <c r="H2280" i="94"/>
  <c r="H2279" i="94"/>
  <c r="F2279" i="94"/>
  <c r="H2278" i="94"/>
  <c r="E2278" i="94"/>
  <c r="E2277" i="94" s="1"/>
  <c r="H2277" i="94"/>
  <c r="H2276" i="94"/>
  <c r="H2275" i="94"/>
  <c r="F2275" i="94"/>
  <c r="G2275" i="94" s="1"/>
  <c r="H2274" i="94"/>
  <c r="F2274" i="94" s="1"/>
  <c r="H2273" i="94"/>
  <c r="E2273" i="94"/>
  <c r="H2272" i="94"/>
  <c r="H2271" i="94"/>
  <c r="F2271" i="94" s="1"/>
  <c r="G2271" i="94" s="1"/>
  <c r="H2270" i="94"/>
  <c r="F2270" i="94" s="1"/>
  <c r="G2270" i="94" s="1"/>
  <c r="H2269" i="94"/>
  <c r="F2269" i="94"/>
  <c r="H2268" i="94"/>
  <c r="E2268" i="94"/>
  <c r="E2267" i="94" s="1"/>
  <c r="E2266" i="94" s="1"/>
  <c r="E2265" i="94" s="1"/>
  <c r="H2267" i="94"/>
  <c r="H2266" i="94"/>
  <c r="H2265" i="94"/>
  <c r="H2264" i="94"/>
  <c r="F2264" i="94" s="1"/>
  <c r="H2263" i="94"/>
  <c r="E2263" i="94"/>
  <c r="E2262" i="94" s="1"/>
  <c r="E2261" i="94" s="1"/>
  <c r="H2262" i="94"/>
  <c r="H2261" i="94"/>
  <c r="H2260" i="94"/>
  <c r="F2260" i="94" s="1"/>
  <c r="H2259" i="94"/>
  <c r="E2259" i="94"/>
  <c r="H2258" i="94"/>
  <c r="E2258" i="94"/>
  <c r="E2257" i="94" s="1"/>
  <c r="H2257" i="94"/>
  <c r="H2256" i="94"/>
  <c r="F2256" i="94" s="1"/>
  <c r="H2255" i="94"/>
  <c r="F2255" i="94" s="1"/>
  <c r="H2254" i="94"/>
  <c r="E2254" i="94"/>
  <c r="H2253" i="94"/>
  <c r="E2253" i="94"/>
  <c r="E2252" i="94" s="1"/>
  <c r="E2251" i="94" s="1"/>
  <c r="H2252" i="94"/>
  <c r="H2251" i="94"/>
  <c r="H2250" i="94"/>
  <c r="F2250" i="94" s="1"/>
  <c r="H2249" i="94"/>
  <c r="E2249" i="94"/>
  <c r="H2248" i="94"/>
  <c r="H2247" i="94"/>
  <c r="F2247" i="94"/>
  <c r="H2246" i="94"/>
  <c r="F2246" i="94"/>
  <c r="G2246" i="94" s="1"/>
  <c r="H2245" i="94"/>
  <c r="F2245" i="94" s="1"/>
  <c r="H2244" i="94"/>
  <c r="E2244" i="94"/>
  <c r="H2243" i="94"/>
  <c r="E2243" i="94"/>
  <c r="E2242" i="94" s="1"/>
  <c r="E2241" i="94" s="1"/>
  <c r="H2242" i="94"/>
  <c r="H2241" i="94"/>
  <c r="H2240" i="94"/>
  <c r="F2240" i="94" s="1"/>
  <c r="G2240" i="94" s="1"/>
  <c r="H2239" i="94"/>
  <c r="F2239" i="94"/>
  <c r="E2239" i="94"/>
  <c r="H2238" i="94"/>
  <c r="E2238" i="94"/>
  <c r="E2237" i="94" s="1"/>
  <c r="H2237" i="94"/>
  <c r="H2236" i="94"/>
  <c r="F2236" i="94" s="1"/>
  <c r="H2235" i="94"/>
  <c r="F2235" i="94" s="1"/>
  <c r="H2234" i="94"/>
  <c r="F2234" i="94"/>
  <c r="H2233" i="94"/>
  <c r="E2233" i="94"/>
  <c r="H2232" i="94"/>
  <c r="E2232" i="94"/>
  <c r="E2231" i="94" s="1"/>
  <c r="H2231" i="94"/>
  <c r="H2230" i="94"/>
  <c r="E2230" i="94"/>
  <c r="H2229" i="94"/>
  <c r="H2228" i="94"/>
  <c r="F2228" i="94" s="1"/>
  <c r="G2228" i="94" s="1"/>
  <c r="H2227" i="94"/>
  <c r="F2227" i="94" s="1"/>
  <c r="G2227" i="94" s="1"/>
  <c r="H2226" i="94"/>
  <c r="F2226" i="94" s="1"/>
  <c r="G2226" i="94" s="1"/>
  <c r="H2225" i="94"/>
  <c r="E2225" i="94"/>
  <c r="E2220" i="94" s="1"/>
  <c r="E2219" i="94" s="1"/>
  <c r="H2224" i="94"/>
  <c r="H2223" i="94"/>
  <c r="F2223" i="94"/>
  <c r="H2222" i="94"/>
  <c r="E2222" i="94"/>
  <c r="H2221" i="94"/>
  <c r="E2221" i="94"/>
  <c r="H2220" i="94"/>
  <c r="H2219" i="94"/>
  <c r="H2218" i="94"/>
  <c r="F2218" i="94" s="1"/>
  <c r="H2217" i="94"/>
  <c r="E2217" i="94"/>
  <c r="H2216" i="94"/>
  <c r="H2215" i="94"/>
  <c r="F2215" i="94"/>
  <c r="G2215" i="94" s="1"/>
  <c r="H2214" i="94"/>
  <c r="F2214" i="94" s="1"/>
  <c r="G2214" i="94" s="1"/>
  <c r="H2213" i="94"/>
  <c r="F2213" i="94" s="1"/>
  <c r="G2213" i="94" s="1"/>
  <c r="H2212" i="94"/>
  <c r="G2212" i="94"/>
  <c r="F2212" i="94"/>
  <c r="H2211" i="94"/>
  <c r="F2211" i="94" s="1"/>
  <c r="H2210" i="94"/>
  <c r="F2210" i="94" s="1"/>
  <c r="G2210" i="94" s="1"/>
  <c r="H2209" i="94"/>
  <c r="F2209" i="94" s="1"/>
  <c r="G2209" i="94" s="1"/>
  <c r="H2208" i="94"/>
  <c r="F2208" i="94"/>
  <c r="G2208" i="94" s="1"/>
  <c r="H2207" i="94"/>
  <c r="F2207" i="94" s="1"/>
  <c r="G2207" i="94" s="1"/>
  <c r="H2206" i="94"/>
  <c r="F2206" i="94" s="1"/>
  <c r="G2206" i="94" s="1"/>
  <c r="H2205" i="94"/>
  <c r="G2205" i="94"/>
  <c r="F2205" i="94"/>
  <c r="H2204" i="94"/>
  <c r="F2204" i="94" s="1"/>
  <c r="H2203" i="94"/>
  <c r="F2203" i="94" s="1"/>
  <c r="G2203" i="94" s="1"/>
  <c r="H2202" i="94"/>
  <c r="F2202" i="94" s="1"/>
  <c r="G2202" i="94" s="1"/>
  <c r="H2201" i="94"/>
  <c r="F2201" i="94"/>
  <c r="H2200" i="94"/>
  <c r="E2200" i="94"/>
  <c r="E2191" i="94" s="1"/>
  <c r="H2199" i="94"/>
  <c r="H2198" i="94"/>
  <c r="F2198" i="94" s="1"/>
  <c r="G2198" i="94" s="1"/>
  <c r="H2197" i="94"/>
  <c r="F2197" i="94" s="1"/>
  <c r="G2197" i="94" s="1"/>
  <c r="H2196" i="94"/>
  <c r="F2196" i="94" s="1"/>
  <c r="G2196" i="94" s="1"/>
  <c r="H2195" i="94"/>
  <c r="F2195" i="94" s="1"/>
  <c r="G2195" i="94" s="1"/>
  <c r="H2194" i="94"/>
  <c r="F2194" i="94"/>
  <c r="G2194" i="94" s="1"/>
  <c r="H2193" i="94"/>
  <c r="F2193" i="94" s="1"/>
  <c r="H2192" i="94"/>
  <c r="E2192" i="94"/>
  <c r="H2191" i="94"/>
  <c r="H2190" i="94"/>
  <c r="H2189" i="94"/>
  <c r="H2188" i="94"/>
  <c r="F2188" i="94" s="1"/>
  <c r="G2188" i="94" s="1"/>
  <c r="H2187" i="94"/>
  <c r="F2187" i="94" s="1"/>
  <c r="G2187" i="94" s="1"/>
  <c r="H2186" i="94"/>
  <c r="F2186" i="94" s="1"/>
  <c r="H2185" i="94"/>
  <c r="E2185" i="94"/>
  <c r="H2184" i="94"/>
  <c r="H2183" i="94"/>
  <c r="F2183" i="94"/>
  <c r="G2183" i="94" s="1"/>
  <c r="H2182" i="94"/>
  <c r="F2182" i="94" s="1"/>
  <c r="G2182" i="94" s="1"/>
  <c r="H2181" i="94"/>
  <c r="F2181" i="94" s="1"/>
  <c r="H2180" i="94"/>
  <c r="E2180" i="94"/>
  <c r="H2179" i="94"/>
  <c r="E2179" i="94"/>
  <c r="H2178" i="94"/>
  <c r="H2177" i="94"/>
  <c r="F2177" i="94" s="1"/>
  <c r="H2176" i="94"/>
  <c r="F2176" i="94" s="1"/>
  <c r="H2175" i="94"/>
  <c r="F2175" i="94" s="1"/>
  <c r="G2175" i="94" s="1"/>
  <c r="H2174" i="94"/>
  <c r="F2174" i="94" s="1"/>
  <c r="G2174" i="94" s="1"/>
  <c r="H2173" i="94"/>
  <c r="F2173" i="94" s="1"/>
  <c r="H2172" i="94"/>
  <c r="F2172" i="94" s="1"/>
  <c r="G2172" i="94" s="1"/>
  <c r="H2171" i="94"/>
  <c r="F2171" i="94" s="1"/>
  <c r="G2171" i="94" s="1"/>
  <c r="H2170" i="94"/>
  <c r="F2170" i="94" s="1"/>
  <c r="H2169" i="94"/>
  <c r="F2169" i="94" s="1"/>
  <c r="H2168" i="94"/>
  <c r="F2168" i="94"/>
  <c r="G2168" i="94" s="1"/>
  <c r="H2167" i="94"/>
  <c r="F2167" i="94"/>
  <c r="H2166" i="94"/>
  <c r="F2166" i="94"/>
  <c r="H2165" i="94"/>
  <c r="F2165" i="94" s="1"/>
  <c r="G2165" i="94" s="1"/>
  <c r="H2164" i="94"/>
  <c r="F2164" i="94" s="1"/>
  <c r="G2164" i="94" s="1"/>
  <c r="H2163" i="94"/>
  <c r="F2163" i="94"/>
  <c r="H2162" i="94"/>
  <c r="G2162" i="94"/>
  <c r="F2162" i="94"/>
  <c r="H2161" i="94"/>
  <c r="F2161" i="94" s="1"/>
  <c r="H2160" i="94"/>
  <c r="E2160" i="94"/>
  <c r="E2159" i="94" s="1"/>
  <c r="E2158" i="94" s="1"/>
  <c r="H2159" i="94"/>
  <c r="H2158" i="94"/>
  <c r="H2157" i="94"/>
  <c r="F2157" i="94" s="1"/>
  <c r="G2157" i="94" s="1"/>
  <c r="H2156" i="94"/>
  <c r="F2156" i="94" s="1"/>
  <c r="G2156" i="94" s="1"/>
  <c r="H2155" i="94"/>
  <c r="F2155" i="94" s="1"/>
  <c r="G2155" i="94" s="1"/>
  <c r="H2154" i="94"/>
  <c r="F2154" i="94" s="1"/>
  <c r="G2154" i="94" s="1"/>
  <c r="H2153" i="94"/>
  <c r="F2153" i="94" s="1"/>
  <c r="G2153" i="94" s="1"/>
  <c r="H2152" i="94"/>
  <c r="F2152" i="94"/>
  <c r="G2152" i="94" s="1"/>
  <c r="H2151" i="94"/>
  <c r="F2151" i="94" s="1"/>
  <c r="G2151" i="94" s="1"/>
  <c r="H2150" i="94"/>
  <c r="F2150" i="94" s="1"/>
  <c r="G2150" i="94" s="1"/>
  <c r="H2149" i="94"/>
  <c r="F2149" i="94" s="1"/>
  <c r="G2149" i="94"/>
  <c r="H2148" i="94"/>
  <c r="F2148" i="94"/>
  <c r="G2148" i="94" s="1"/>
  <c r="H2147" i="94"/>
  <c r="F2147" i="94" s="1"/>
  <c r="G2147" i="94" s="1"/>
  <c r="H2146" i="94"/>
  <c r="F2146" i="94" s="1"/>
  <c r="G2146" i="94" s="1"/>
  <c r="H2145" i="94"/>
  <c r="G2145" i="94"/>
  <c r="F2145" i="94"/>
  <c r="H2144" i="94"/>
  <c r="F2144" i="94" s="1"/>
  <c r="H2143" i="94"/>
  <c r="E2143" i="94"/>
  <c r="H2142" i="94"/>
  <c r="H2141" i="94"/>
  <c r="F2141" i="94"/>
  <c r="H2140" i="94"/>
  <c r="E2140" i="94"/>
  <c r="E2139" i="94" s="1"/>
  <c r="E2138" i="94" s="1"/>
  <c r="H2139" i="94"/>
  <c r="H2138" i="94"/>
  <c r="H2137" i="94"/>
  <c r="F2137" i="94" s="1"/>
  <c r="G2137" i="94" s="1"/>
  <c r="H2136" i="94"/>
  <c r="F2136" i="94" s="1"/>
  <c r="H2135" i="94"/>
  <c r="E2135" i="94"/>
  <c r="H2134" i="94"/>
  <c r="E2134" i="94"/>
  <c r="E2133" i="94" s="1"/>
  <c r="E2132" i="94" s="1"/>
  <c r="H2133" i="94"/>
  <c r="H2132" i="94"/>
  <c r="H2131" i="94"/>
  <c r="H2130" i="94"/>
  <c r="F2130" i="94" s="1"/>
  <c r="H2129" i="94"/>
  <c r="E2129" i="94"/>
  <c r="H2128" i="94"/>
  <c r="E2128" i="94"/>
  <c r="H2127" i="94"/>
  <c r="H2126" i="94"/>
  <c r="F2126" i="94" s="1"/>
  <c r="G2126" i="94" s="1"/>
  <c r="H2125" i="94"/>
  <c r="F2125" i="94"/>
  <c r="E2125" i="94"/>
  <c r="E2124" i="94" s="1"/>
  <c r="E2123" i="94" s="1"/>
  <c r="H2124" i="94"/>
  <c r="H2123" i="94"/>
  <c r="H2122" i="94"/>
  <c r="F2122" i="94"/>
  <c r="H2121" i="94"/>
  <c r="E2121" i="94"/>
  <c r="E2120" i="94" s="1"/>
  <c r="H2120" i="94"/>
  <c r="H2119" i="94"/>
  <c r="H2118" i="94"/>
  <c r="F2118" i="94" s="1"/>
  <c r="H2117" i="94"/>
  <c r="E2117" i="94"/>
  <c r="H2116" i="94"/>
  <c r="H2115" i="94"/>
  <c r="F2115" i="94"/>
  <c r="G2115" i="94" s="1"/>
  <c r="H2114" i="94"/>
  <c r="F2114" i="94" s="1"/>
  <c r="G2114" i="94" s="1"/>
  <c r="H2113" i="94"/>
  <c r="F2113" i="94" s="1"/>
  <c r="H2112" i="94"/>
  <c r="F2112" i="94"/>
  <c r="G2112" i="94" s="1"/>
  <c r="H2111" i="94"/>
  <c r="F2111" i="94" s="1"/>
  <c r="G2111" i="94" s="1"/>
  <c r="H2110" i="94"/>
  <c r="F2110" i="94" s="1"/>
  <c r="G2110" i="94" s="1"/>
  <c r="H2109" i="94"/>
  <c r="F2109" i="94" s="1"/>
  <c r="G2109" i="94" s="1"/>
  <c r="H2108" i="94"/>
  <c r="F2108" i="94" s="1"/>
  <c r="H2107" i="94"/>
  <c r="F2107" i="94" s="1"/>
  <c r="H2106" i="94"/>
  <c r="E2106" i="94"/>
  <c r="H2105" i="94"/>
  <c r="H2104" i="94"/>
  <c r="F2104" i="94" s="1"/>
  <c r="H2103" i="94"/>
  <c r="F2103" i="94" s="1"/>
  <c r="H2102" i="94"/>
  <c r="F2102" i="94" s="1"/>
  <c r="G2102" i="94" s="1"/>
  <c r="H2101" i="94"/>
  <c r="F2101" i="94" s="1"/>
  <c r="G2101" i="94" s="1"/>
  <c r="H2100" i="94"/>
  <c r="F2100" i="94"/>
  <c r="G2100" i="94" s="1"/>
  <c r="H2099" i="94"/>
  <c r="F2099" i="94" s="1"/>
  <c r="G2099" i="94" s="1"/>
  <c r="H2098" i="94"/>
  <c r="F2098" i="94" s="1"/>
  <c r="H2097" i="94"/>
  <c r="E2097" i="94"/>
  <c r="E2096" i="94" s="1"/>
  <c r="H2096" i="94"/>
  <c r="H2095" i="94"/>
  <c r="H2094" i="94"/>
  <c r="H2093" i="94"/>
  <c r="G2093" i="94"/>
  <c r="F2093" i="94"/>
  <c r="H2092" i="94"/>
  <c r="F2092" i="94" s="1"/>
  <c r="G2092" i="94" s="1"/>
  <c r="H2091" i="94"/>
  <c r="F2091" i="94" s="1"/>
  <c r="G2091" i="94" s="1"/>
  <c r="H2090" i="94"/>
  <c r="F2090" i="94" s="1"/>
  <c r="G2090" i="94" s="1"/>
  <c r="H2089" i="94"/>
  <c r="F2089" i="94" s="1"/>
  <c r="G2089" i="94" s="1"/>
  <c r="H2088" i="94"/>
  <c r="F2088" i="94" s="1"/>
  <c r="G2088" i="94" s="1"/>
  <c r="H2087" i="94"/>
  <c r="F2087" i="94" s="1"/>
  <c r="G2087" i="94" s="1"/>
  <c r="H2086" i="94"/>
  <c r="F2086" i="94" s="1"/>
  <c r="G2086" i="94" s="1"/>
  <c r="H2085" i="94"/>
  <c r="F2085" i="94" s="1"/>
  <c r="G2085" i="94" s="1"/>
  <c r="H2084" i="94"/>
  <c r="F2084" i="94" s="1"/>
  <c r="G2084" i="94" s="1"/>
  <c r="H2083" i="94"/>
  <c r="F2083" i="94"/>
  <c r="G2083" i="94" s="1"/>
  <c r="H2082" i="94"/>
  <c r="F2082" i="94"/>
  <c r="G2082" i="94" s="1"/>
  <c r="H2081" i="94"/>
  <c r="F2081" i="94" s="1"/>
  <c r="G2081" i="94" s="1"/>
  <c r="H2080" i="94"/>
  <c r="F2080" i="94" s="1"/>
  <c r="G2080" i="94" s="1"/>
  <c r="H2079" i="94"/>
  <c r="G2079" i="94"/>
  <c r="F2079" i="94"/>
  <c r="H2078" i="94"/>
  <c r="F2078" i="94" s="1"/>
  <c r="G2078" i="94" s="1"/>
  <c r="H2077" i="94"/>
  <c r="F2077" i="94" s="1"/>
  <c r="G2077" i="94" s="1"/>
  <c r="H2076" i="94"/>
  <c r="F2076" i="94" s="1"/>
  <c r="G2076" i="94" s="1"/>
  <c r="H2075" i="94"/>
  <c r="F2075" i="94"/>
  <c r="G2075" i="94" s="1"/>
  <c r="H2074" i="94"/>
  <c r="F2074" i="94"/>
  <c r="G2074" i="94" s="1"/>
  <c r="H2073" i="94"/>
  <c r="F2073" i="94" s="1"/>
  <c r="H2072" i="94"/>
  <c r="E2072" i="94"/>
  <c r="E2071" i="94" s="1"/>
  <c r="E2070" i="94" s="1"/>
  <c r="H2071" i="94"/>
  <c r="H2070" i="94"/>
  <c r="H2069" i="94"/>
  <c r="F2069" i="94" s="1"/>
  <c r="G2069" i="94" s="1"/>
  <c r="H2068" i="94"/>
  <c r="E2068" i="94"/>
  <c r="H2067" i="94"/>
  <c r="H2066" i="94"/>
  <c r="F2066" i="94" s="1"/>
  <c r="G2066" i="94" s="1"/>
  <c r="H2065" i="94"/>
  <c r="F2065" i="94" s="1"/>
  <c r="G2065" i="94" s="1"/>
  <c r="H2064" i="94"/>
  <c r="F2064" i="94"/>
  <c r="G2064" i="94" s="1"/>
  <c r="H2063" i="94"/>
  <c r="F2063" i="94" s="1"/>
  <c r="G2063" i="94" s="1"/>
  <c r="H2062" i="94"/>
  <c r="F2062" i="94" s="1"/>
  <c r="G2062" i="94" s="1"/>
  <c r="H2061" i="94"/>
  <c r="F2061" i="94" s="1"/>
  <c r="G2061" i="94" s="1"/>
  <c r="H2060" i="94"/>
  <c r="F2060" i="94" s="1"/>
  <c r="H2059" i="94"/>
  <c r="E2059" i="94"/>
  <c r="H2058" i="94"/>
  <c r="H2057" i="94"/>
  <c r="F2057" i="94" s="1"/>
  <c r="H2056" i="94"/>
  <c r="F2056" i="94" s="1"/>
  <c r="H2055" i="94"/>
  <c r="F2055" i="94"/>
  <c r="G2055" i="94" s="1"/>
  <c r="H2054" i="94"/>
  <c r="F2054" i="94" s="1"/>
  <c r="G2054" i="94" s="1"/>
  <c r="H2053" i="94"/>
  <c r="F2053" i="94" s="1"/>
  <c r="G2053" i="94" s="1"/>
  <c r="H2052" i="94"/>
  <c r="G2052" i="94"/>
  <c r="F2052" i="94"/>
  <c r="H2051" i="94"/>
  <c r="F2051" i="94" s="1"/>
  <c r="H2050" i="94"/>
  <c r="E2050" i="94"/>
  <c r="E2049" i="94" s="1"/>
  <c r="E2048" i="94" s="1"/>
  <c r="H2049" i="94"/>
  <c r="H2048" i="94"/>
  <c r="H2047" i="94"/>
  <c r="E2047" i="94"/>
  <c r="H2046" i="94"/>
  <c r="H2045" i="94"/>
  <c r="F2045" i="94" s="1"/>
  <c r="G2045" i="94" s="1"/>
  <c r="H2044" i="94"/>
  <c r="F2044" i="94" s="1"/>
  <c r="G2044" i="94" s="1"/>
  <c r="H2043" i="94"/>
  <c r="E2043" i="94"/>
  <c r="E2042" i="94" s="1"/>
  <c r="H2042" i="94"/>
  <c r="H2041" i="94"/>
  <c r="H2040" i="94"/>
  <c r="F2040" i="94" s="1"/>
  <c r="G2040" i="94"/>
  <c r="H2039" i="94"/>
  <c r="G2039" i="94"/>
  <c r="F2039" i="94"/>
  <c r="H2038" i="94"/>
  <c r="F2038" i="94" s="1"/>
  <c r="G2038" i="94" s="1"/>
  <c r="H2037" i="94"/>
  <c r="F2037" i="94" s="1"/>
  <c r="G2037" i="94" s="1"/>
  <c r="H2036" i="94"/>
  <c r="F2036" i="94" s="1"/>
  <c r="G2036" i="94"/>
  <c r="H2035" i="94"/>
  <c r="G2035" i="94"/>
  <c r="F2035" i="94"/>
  <c r="H2034" i="94"/>
  <c r="F2034" i="94" s="1"/>
  <c r="G2034" i="94" s="1"/>
  <c r="H2033" i="94"/>
  <c r="F2033" i="94" s="1"/>
  <c r="G2033" i="94" s="1"/>
  <c r="H2032" i="94"/>
  <c r="F2032" i="94" s="1"/>
  <c r="G2032" i="94"/>
  <c r="H2031" i="94"/>
  <c r="G2031" i="94"/>
  <c r="F2031" i="94"/>
  <c r="H2030" i="94"/>
  <c r="F2030" i="94" s="1"/>
  <c r="G2030" i="94" s="1"/>
  <c r="H2029" i="94"/>
  <c r="F2029" i="94" s="1"/>
  <c r="G2029" i="94" s="1"/>
  <c r="H2028" i="94"/>
  <c r="F2028" i="94" s="1"/>
  <c r="G2028" i="94"/>
  <c r="H2027" i="94"/>
  <c r="G2027" i="94"/>
  <c r="F2027" i="94"/>
  <c r="H2026" i="94"/>
  <c r="F2026" i="94" s="1"/>
  <c r="G2026" i="94" s="1"/>
  <c r="H2025" i="94"/>
  <c r="F2025" i="94" s="1"/>
  <c r="G2025" i="94" s="1"/>
  <c r="H2024" i="94"/>
  <c r="F2024" i="94" s="1"/>
  <c r="G2024" i="94"/>
  <c r="H2023" i="94"/>
  <c r="G2023" i="94"/>
  <c r="F2023" i="94"/>
  <c r="H2022" i="94"/>
  <c r="E2022" i="94"/>
  <c r="H2021" i="94"/>
  <c r="H2020" i="94"/>
  <c r="F2020" i="94"/>
  <c r="G2020" i="94" s="1"/>
  <c r="E2020" i="94"/>
  <c r="H2019" i="94"/>
  <c r="F2019" i="94" s="1"/>
  <c r="G2019" i="94" s="1"/>
  <c r="E2019" i="94"/>
  <c r="H2018" i="94"/>
  <c r="F2018" i="94" s="1"/>
  <c r="G2018" i="94" s="1"/>
  <c r="H2017" i="94"/>
  <c r="F2017" i="94"/>
  <c r="G2017" i="94" s="1"/>
  <c r="H2016" i="94"/>
  <c r="F2016" i="94" s="1"/>
  <c r="G2016" i="94" s="1"/>
  <c r="H2015" i="94"/>
  <c r="F2015" i="94" s="1"/>
  <c r="G2015" i="94" s="1"/>
  <c r="E2015" i="94"/>
  <c r="H2014" i="94"/>
  <c r="H2013" i="94"/>
  <c r="H2012" i="94"/>
  <c r="H2011" i="94"/>
  <c r="F2011" i="94" s="1"/>
  <c r="G2011" i="94"/>
  <c r="H2010" i="94"/>
  <c r="G2010" i="94"/>
  <c r="F2010" i="94"/>
  <c r="F2009" i="94" s="1"/>
  <c r="H2009" i="94"/>
  <c r="E2009" i="94"/>
  <c r="H2008" i="94"/>
  <c r="G2008" i="94"/>
  <c r="H2007" i="94"/>
  <c r="F2007" i="94" s="1"/>
  <c r="G2007" i="94" s="1"/>
  <c r="H2006" i="94"/>
  <c r="F2006" i="94" s="1"/>
  <c r="G2006" i="94" s="1"/>
  <c r="H2005" i="94"/>
  <c r="F2005" i="94"/>
  <c r="G2005" i="94" s="1"/>
  <c r="H2004" i="94"/>
  <c r="F2004" i="94" s="1"/>
  <c r="H2003" i="94"/>
  <c r="E2003" i="94"/>
  <c r="H2002" i="94"/>
  <c r="E2002" i="94"/>
  <c r="H2001" i="94"/>
  <c r="H2000" i="94"/>
  <c r="F2000" i="94" s="1"/>
  <c r="E2000" i="94"/>
  <c r="H1999" i="94"/>
  <c r="F1999" i="94" s="1"/>
  <c r="E1999" i="94"/>
  <c r="H1998" i="94"/>
  <c r="F1998" i="94" s="1"/>
  <c r="E1998" i="94"/>
  <c r="H1997" i="94"/>
  <c r="F1997" i="94" s="1"/>
  <c r="E1997" i="94"/>
  <c r="H1996" i="94"/>
  <c r="F1996" i="94" s="1"/>
  <c r="E1996" i="94"/>
  <c r="H1995" i="94"/>
  <c r="F1995" i="94" s="1"/>
  <c r="E1995" i="94"/>
  <c r="H1994" i="94"/>
  <c r="F1994" i="94" s="1"/>
  <c r="G1994" i="94" s="1"/>
  <c r="H1993" i="94"/>
  <c r="F1993" i="94" s="1"/>
  <c r="G1993" i="94" s="1"/>
  <c r="H1992" i="94"/>
  <c r="F1992" i="94" s="1"/>
  <c r="G1992" i="94" s="1"/>
  <c r="E1992" i="94"/>
  <c r="H1991" i="94"/>
  <c r="F1991" i="94" s="1"/>
  <c r="G1991" i="94"/>
  <c r="E1991" i="94"/>
  <c r="H1990" i="94"/>
  <c r="F1990" i="94" s="1"/>
  <c r="G1990" i="94"/>
  <c r="H1989" i="94"/>
  <c r="F1989" i="94" s="1"/>
  <c r="G1989" i="94" s="1"/>
  <c r="H1988" i="94"/>
  <c r="F1988" i="94" s="1"/>
  <c r="G1988" i="94" s="1"/>
  <c r="H1987" i="94"/>
  <c r="F1987" i="94" s="1"/>
  <c r="G1987" i="94" s="1"/>
  <c r="H1986" i="94"/>
  <c r="F1986" i="94"/>
  <c r="G1986" i="94" s="1"/>
  <c r="H1985" i="94"/>
  <c r="F1985" i="94"/>
  <c r="G1985" i="94" s="1"/>
  <c r="H1984" i="94"/>
  <c r="F1984" i="94" s="1"/>
  <c r="E1984" i="94"/>
  <c r="H1983" i="94"/>
  <c r="F1983" i="94" s="1"/>
  <c r="E1983" i="94"/>
  <c r="H1982" i="94"/>
  <c r="F1982" i="94" s="1"/>
  <c r="E1982" i="94"/>
  <c r="H1981" i="94"/>
  <c r="F1981" i="94" s="1"/>
  <c r="E1981" i="94"/>
  <c r="H1980" i="94"/>
  <c r="F1980" i="94" s="1"/>
  <c r="E1980" i="94"/>
  <c r="H1979" i="94"/>
  <c r="F1979" i="94" s="1"/>
  <c r="E1979" i="94"/>
  <c r="H1978" i="94"/>
  <c r="F1978" i="94" s="1"/>
  <c r="E1978" i="94"/>
  <c r="H1977" i="94"/>
  <c r="F1977" i="94" s="1"/>
  <c r="E1977" i="94"/>
  <c r="H1976" i="94"/>
  <c r="F1976" i="94" s="1"/>
  <c r="E1976" i="94"/>
  <c r="H1975" i="94"/>
  <c r="F1975" i="94" s="1"/>
  <c r="E1975" i="94"/>
  <c r="H1974" i="94"/>
  <c r="F1974" i="94" s="1"/>
  <c r="E1974" i="94"/>
  <c r="H1973" i="94"/>
  <c r="F1973" i="94" s="1"/>
  <c r="E1973" i="94"/>
  <c r="H1972" i="94"/>
  <c r="F1972" i="94" s="1"/>
  <c r="E1972" i="94"/>
  <c r="H1971" i="94"/>
  <c r="F1971" i="94" s="1"/>
  <c r="E1971" i="94"/>
  <c r="H1970" i="94"/>
  <c r="F1970" i="94" s="1"/>
  <c r="E1970" i="94"/>
  <c r="H1969" i="94"/>
  <c r="F1969" i="94" s="1"/>
  <c r="E1969" i="94"/>
  <c r="H1968" i="94"/>
  <c r="F1968" i="94" s="1"/>
  <c r="E1968" i="94"/>
  <c r="H1967" i="94"/>
  <c r="F1967" i="94" s="1"/>
  <c r="E1967" i="94"/>
  <c r="H1966" i="94"/>
  <c r="F1966" i="94" s="1"/>
  <c r="E1966" i="94"/>
  <c r="H1965" i="94"/>
  <c r="F1965" i="94" s="1"/>
  <c r="E1965" i="94"/>
  <c r="H1964" i="94"/>
  <c r="F1964" i="94" s="1"/>
  <c r="E1964" i="94"/>
  <c r="H1963" i="94"/>
  <c r="F1963" i="94" s="1"/>
  <c r="E1963" i="94"/>
  <c r="H1962" i="94"/>
  <c r="F1962" i="94" s="1"/>
  <c r="E1962" i="94"/>
  <c r="H1961" i="94"/>
  <c r="F1961" i="94" s="1"/>
  <c r="E1961" i="94"/>
  <c r="H1960" i="94"/>
  <c r="F1960" i="94" s="1"/>
  <c r="E1960" i="94"/>
  <c r="E1959" i="94" s="1"/>
  <c r="H1959" i="94"/>
  <c r="H1958" i="94"/>
  <c r="H1957" i="94"/>
  <c r="F1957" i="94"/>
  <c r="G1957" i="94" s="1"/>
  <c r="H1956" i="94"/>
  <c r="F1956" i="94" s="1"/>
  <c r="H1955" i="94"/>
  <c r="E1955" i="94"/>
  <c r="H1954" i="94"/>
  <c r="H1953" i="94"/>
  <c r="F1953" i="94" s="1"/>
  <c r="G1953" i="94" s="1"/>
  <c r="H1952" i="94"/>
  <c r="F1952" i="94" s="1"/>
  <c r="G1952" i="94" s="1"/>
  <c r="H1951" i="94"/>
  <c r="F1951" i="94"/>
  <c r="G1951" i="94" s="1"/>
  <c r="H1950" i="94"/>
  <c r="F1950" i="94"/>
  <c r="G1950" i="94" s="1"/>
  <c r="H1949" i="94"/>
  <c r="F1949" i="94" s="1"/>
  <c r="G1949" i="94" s="1"/>
  <c r="H1948" i="94"/>
  <c r="F1948" i="94" s="1"/>
  <c r="G1948" i="94" s="1"/>
  <c r="H1947" i="94"/>
  <c r="F1947" i="94" s="1"/>
  <c r="G1947" i="94" s="1"/>
  <c r="H1946" i="94"/>
  <c r="F1946" i="94"/>
  <c r="G1946" i="94" s="1"/>
  <c r="H1945" i="94"/>
  <c r="F1945" i="94" s="1"/>
  <c r="G1945" i="94" s="1"/>
  <c r="H1944" i="94"/>
  <c r="F1944" i="94" s="1"/>
  <c r="G1944" i="94" s="1"/>
  <c r="H1943" i="94"/>
  <c r="G1943" i="94"/>
  <c r="F1943" i="94"/>
  <c r="H1942" i="94"/>
  <c r="F1942" i="94"/>
  <c r="G1942" i="94" s="1"/>
  <c r="H1941" i="94"/>
  <c r="F1941" i="94" s="1"/>
  <c r="G1941" i="94" s="1"/>
  <c r="H1940" i="94"/>
  <c r="F1940" i="94" s="1"/>
  <c r="G1940" i="94" s="1"/>
  <c r="H1939" i="94"/>
  <c r="F1939" i="94"/>
  <c r="G1939" i="94" s="1"/>
  <c r="H1938" i="94"/>
  <c r="F1938" i="94" s="1"/>
  <c r="G1938" i="94" s="1"/>
  <c r="H1937" i="94"/>
  <c r="F1937" i="94" s="1"/>
  <c r="G1937" i="94" s="1"/>
  <c r="H1936" i="94"/>
  <c r="F1936" i="94" s="1"/>
  <c r="G1936" i="94" s="1"/>
  <c r="H1935" i="94"/>
  <c r="F1935" i="94"/>
  <c r="G1935" i="94" s="1"/>
  <c r="H1934" i="94"/>
  <c r="E1934" i="94"/>
  <c r="H1933" i="94"/>
  <c r="H1932" i="94"/>
  <c r="F1932" i="94" s="1"/>
  <c r="G1932" i="94" s="1"/>
  <c r="H1931" i="94"/>
  <c r="F1931" i="94" s="1"/>
  <c r="G1931" i="94" s="1"/>
  <c r="H1930" i="94"/>
  <c r="F1930" i="94" s="1"/>
  <c r="G1930" i="94" s="1"/>
  <c r="H1929" i="94"/>
  <c r="F1929" i="94" s="1"/>
  <c r="G1929" i="94" s="1"/>
  <c r="H1928" i="94"/>
  <c r="F1928" i="94" s="1"/>
  <c r="G1928" i="94" s="1"/>
  <c r="H1927" i="94"/>
  <c r="F1927" i="94" s="1"/>
  <c r="H1926" i="94"/>
  <c r="E1926" i="94"/>
  <c r="E1925" i="94" s="1"/>
  <c r="H1925" i="94"/>
  <c r="H1924" i="94"/>
  <c r="H1923" i="94"/>
  <c r="H1922" i="94"/>
  <c r="F1922" i="94" s="1"/>
  <c r="H1921" i="94"/>
  <c r="E1921" i="94"/>
  <c r="E1920" i="94" s="1"/>
  <c r="H1920" i="94"/>
  <c r="H1919" i="94"/>
  <c r="H1918" i="94"/>
  <c r="F1918" i="94" s="1"/>
  <c r="G1918" i="94" s="1"/>
  <c r="H1917" i="94"/>
  <c r="F1917" i="94" s="1"/>
  <c r="G1917" i="94" s="1"/>
  <c r="H1916" i="94"/>
  <c r="F1916" i="94"/>
  <c r="G1916" i="94" s="1"/>
  <c r="H1915" i="94"/>
  <c r="F1915" i="94" s="1"/>
  <c r="H1914" i="94"/>
  <c r="E1914" i="94"/>
  <c r="E1913" i="94" s="1"/>
  <c r="E1912" i="94" s="1"/>
  <c r="H1913" i="94"/>
  <c r="H1912" i="94"/>
  <c r="H1911" i="94"/>
  <c r="H1910" i="94"/>
  <c r="F1910" i="94" s="1"/>
  <c r="G1910" i="94" s="1"/>
  <c r="H1909" i="94"/>
  <c r="F1909" i="94" s="1"/>
  <c r="G1909" i="94" s="1"/>
  <c r="H1908" i="94"/>
  <c r="F1908" i="94"/>
  <c r="G1908" i="94" s="1"/>
  <c r="H1907" i="94"/>
  <c r="F1907" i="94" s="1"/>
  <c r="H1906" i="94"/>
  <c r="E1906" i="94"/>
  <c r="H1905" i="94"/>
  <c r="F1905" i="94" s="1"/>
  <c r="G1905" i="94" s="1"/>
  <c r="H1904" i="94"/>
  <c r="F1904" i="94" s="1"/>
  <c r="G1904" i="94" s="1"/>
  <c r="H1903" i="94"/>
  <c r="F1903" i="94"/>
  <c r="G1903" i="94" s="1"/>
  <c r="H1902" i="94"/>
  <c r="F1902" i="94" s="1"/>
  <c r="H1901" i="94"/>
  <c r="F1901" i="94" s="1"/>
  <c r="G1901" i="94" s="1"/>
  <c r="H1900" i="94"/>
  <c r="F1900" i="94" s="1"/>
  <c r="G1900" i="94" s="1"/>
  <c r="H1899" i="94"/>
  <c r="E1899" i="94"/>
  <c r="H1898" i="94"/>
  <c r="E1898" i="94"/>
  <c r="H1897" i="94"/>
  <c r="H1896" i="94"/>
  <c r="F1896" i="94" s="1"/>
  <c r="G1896" i="94" s="1"/>
  <c r="H1895" i="94"/>
  <c r="G1895" i="94"/>
  <c r="F1895" i="94"/>
  <c r="H1894" i="94"/>
  <c r="F1894" i="94" s="1"/>
  <c r="G1894" i="94" s="1"/>
  <c r="H1893" i="94"/>
  <c r="F1893" i="94" s="1"/>
  <c r="G1893" i="94" s="1"/>
  <c r="H1892" i="94"/>
  <c r="F1892" i="94" s="1"/>
  <c r="G1892" i="94" s="1"/>
  <c r="H1891" i="94"/>
  <c r="F1891" i="94"/>
  <c r="G1891" i="94" s="1"/>
  <c r="H1890" i="94"/>
  <c r="F1890" i="94" s="1"/>
  <c r="G1890" i="94" s="1"/>
  <c r="H1889" i="94"/>
  <c r="F1889" i="94" s="1"/>
  <c r="G1889" i="94" s="1"/>
  <c r="H1888" i="94"/>
  <c r="F1888" i="94" s="1"/>
  <c r="G1888" i="94" s="1"/>
  <c r="H1887" i="94"/>
  <c r="F1887" i="94" s="1"/>
  <c r="G1887" i="94" s="1"/>
  <c r="H1886" i="94"/>
  <c r="F1886" i="94" s="1"/>
  <c r="G1886" i="94" s="1"/>
  <c r="H1885" i="94"/>
  <c r="F1885" i="94" s="1"/>
  <c r="G1885" i="94" s="1"/>
  <c r="H1884" i="94"/>
  <c r="F1884" i="94" s="1"/>
  <c r="G1884" i="94" s="1"/>
  <c r="H1883" i="94"/>
  <c r="F1883" i="94" s="1"/>
  <c r="G1883" i="94" s="1"/>
  <c r="H1882" i="94"/>
  <c r="F1882" i="94"/>
  <c r="G1882" i="94" s="1"/>
  <c r="H1881" i="94"/>
  <c r="F1881" i="94" s="1"/>
  <c r="G1881" i="94" s="1"/>
  <c r="H1880" i="94"/>
  <c r="F1880" i="94" s="1"/>
  <c r="G1880" i="94" s="1"/>
  <c r="H1879" i="94"/>
  <c r="G1879" i="94"/>
  <c r="F1879" i="94"/>
  <c r="H1878" i="94"/>
  <c r="F1878" i="94" s="1"/>
  <c r="G1878" i="94" s="1"/>
  <c r="H1877" i="94"/>
  <c r="F1877" i="94" s="1"/>
  <c r="G1877" i="94" s="1"/>
  <c r="H1876" i="94"/>
  <c r="F1876" i="94" s="1"/>
  <c r="G1876" i="94" s="1"/>
  <c r="H1875" i="94"/>
  <c r="F1875" i="94"/>
  <c r="G1875" i="94" s="1"/>
  <c r="H1874" i="94"/>
  <c r="F1874" i="94" s="1"/>
  <c r="G1874" i="94" s="1"/>
  <c r="H1873" i="94"/>
  <c r="F1873" i="94" s="1"/>
  <c r="G1873" i="94" s="1"/>
  <c r="H1872" i="94"/>
  <c r="F1872" i="94" s="1"/>
  <c r="G1872" i="94" s="1"/>
  <c r="H1871" i="94"/>
  <c r="F1871" i="94" s="1"/>
  <c r="G1871" i="94" s="1"/>
  <c r="H1870" i="94"/>
  <c r="F1870" i="94" s="1"/>
  <c r="G1870" i="94" s="1"/>
  <c r="H1869" i="94"/>
  <c r="F1869" i="94" s="1"/>
  <c r="G1869" i="94" s="1"/>
  <c r="H1868" i="94"/>
  <c r="F1868" i="94" s="1"/>
  <c r="G1868" i="94" s="1"/>
  <c r="H1867" i="94"/>
  <c r="F1867" i="94" s="1"/>
  <c r="G1867" i="94" s="1"/>
  <c r="H1866" i="94"/>
  <c r="F1866" i="94"/>
  <c r="G1866" i="94" s="1"/>
  <c r="H1865" i="94"/>
  <c r="F1865" i="94" s="1"/>
  <c r="G1865" i="94" s="1"/>
  <c r="H1864" i="94"/>
  <c r="F1864" i="94" s="1"/>
  <c r="G1864" i="94" s="1"/>
  <c r="H1863" i="94"/>
  <c r="G1863" i="94"/>
  <c r="F1863" i="94"/>
  <c r="H1862" i="94"/>
  <c r="F1862" i="94" s="1"/>
  <c r="G1862" i="94" s="1"/>
  <c r="H1861" i="94"/>
  <c r="F1861" i="94" s="1"/>
  <c r="H1860" i="94"/>
  <c r="F1860" i="94" s="1"/>
  <c r="G1860" i="94" s="1"/>
  <c r="H1859" i="94"/>
  <c r="F1859" i="94" s="1"/>
  <c r="G1859" i="94" s="1"/>
  <c r="H1858" i="94"/>
  <c r="F1858" i="94" s="1"/>
  <c r="G1858" i="94" s="1"/>
  <c r="H1857" i="94"/>
  <c r="G1857" i="94"/>
  <c r="F1857" i="94"/>
  <c r="H1856" i="94"/>
  <c r="F1856" i="94" s="1"/>
  <c r="G1856" i="94" s="1"/>
  <c r="H1855" i="94"/>
  <c r="F1855" i="94" s="1"/>
  <c r="G1855" i="94" s="1"/>
  <c r="H1854" i="94"/>
  <c r="F1854" i="94" s="1"/>
  <c r="G1854" i="94" s="1"/>
  <c r="H1853" i="94"/>
  <c r="F1853" i="94" s="1"/>
  <c r="G1853" i="94" s="1"/>
  <c r="H1852" i="94"/>
  <c r="F1852" i="94" s="1"/>
  <c r="G1852" i="94" s="1"/>
  <c r="H1851" i="94"/>
  <c r="F1851" i="94"/>
  <c r="G1851" i="94" s="1"/>
  <c r="H1850" i="94"/>
  <c r="F1850" i="94" s="1"/>
  <c r="G1850" i="94" s="1"/>
  <c r="H1849" i="94"/>
  <c r="F1849" i="94"/>
  <c r="G1849" i="94" s="1"/>
  <c r="H1848" i="94"/>
  <c r="F1848" i="94" s="1"/>
  <c r="G1848" i="94" s="1"/>
  <c r="H1847" i="94"/>
  <c r="F1847" i="94" s="1"/>
  <c r="G1847" i="94" s="1"/>
  <c r="H1846" i="94"/>
  <c r="F1846" i="94" s="1"/>
  <c r="G1846" i="94" s="1"/>
  <c r="H1845" i="94"/>
  <c r="F1845" i="94" s="1"/>
  <c r="G1845" i="94" s="1"/>
  <c r="H1844" i="94"/>
  <c r="G1844" i="94"/>
  <c r="F1844" i="94"/>
  <c r="H1843" i="94"/>
  <c r="F1843" i="94" s="1"/>
  <c r="G1843" i="94" s="1"/>
  <c r="H1842" i="94"/>
  <c r="F1842" i="94" s="1"/>
  <c r="G1842" i="94" s="1"/>
  <c r="F1841" i="94"/>
  <c r="G1841" i="94" s="1"/>
  <c r="H1840" i="94"/>
  <c r="F1840" i="94" s="1"/>
  <c r="G1840" i="94" s="1"/>
  <c r="F1839" i="94"/>
  <c r="G1839" i="94" s="1"/>
  <c r="H1838" i="94"/>
  <c r="F1838" i="94" s="1"/>
  <c r="G1838" i="94" s="1"/>
  <c r="H1837" i="94"/>
  <c r="F1837" i="94" s="1"/>
  <c r="G1837" i="94" s="1"/>
  <c r="H1836" i="94"/>
  <c r="F1836" i="94" s="1"/>
  <c r="G1836" i="94" s="1"/>
  <c r="H1835" i="94"/>
  <c r="F1835" i="94" s="1"/>
  <c r="G1835" i="94" s="1"/>
  <c r="H1834" i="94"/>
  <c r="F1834" i="94"/>
  <c r="G1834" i="94" s="1"/>
  <c r="H1833" i="94"/>
  <c r="E1833" i="94"/>
  <c r="H1832" i="94"/>
  <c r="H1831" i="94"/>
  <c r="F1831" i="94" s="1"/>
  <c r="G1831" i="94" s="1"/>
  <c r="H1830" i="94"/>
  <c r="F1830" i="94" s="1"/>
  <c r="G1830" i="94" s="1"/>
  <c r="H1829" i="94"/>
  <c r="F1829" i="94" s="1"/>
  <c r="G1829" i="94"/>
  <c r="H1828" i="94"/>
  <c r="F1828" i="94" s="1"/>
  <c r="H1827" i="94"/>
  <c r="F1827" i="94"/>
  <c r="G1827" i="94" s="1"/>
  <c r="H1826" i="94"/>
  <c r="E1826" i="94"/>
  <c r="H1825" i="94"/>
  <c r="E1825" i="94"/>
  <c r="E1824" i="94" s="1"/>
  <c r="H1824" i="94"/>
  <c r="H1823" i="94"/>
  <c r="F1823" i="94" s="1"/>
  <c r="H1822" i="94"/>
  <c r="E1822" i="94"/>
  <c r="E1821" i="94" s="1"/>
  <c r="E1820" i="94" s="1"/>
  <c r="H1821" i="94"/>
  <c r="H1820" i="94"/>
  <c r="H1819" i="94"/>
  <c r="G1819" i="94"/>
  <c r="F1819" i="94"/>
  <c r="F1818" i="94" s="1"/>
  <c r="H1818" i="94"/>
  <c r="E1818" i="94"/>
  <c r="E1817" i="94" s="1"/>
  <c r="E1816" i="94" s="1"/>
  <c r="H1817" i="94"/>
  <c r="H1816" i="94"/>
  <c r="H1815" i="94"/>
  <c r="F1815" i="94" s="1"/>
  <c r="H1814" i="94"/>
  <c r="F1814" i="94" s="1"/>
  <c r="G1814" i="94" s="1"/>
  <c r="H1813" i="94"/>
  <c r="E1813" i="94"/>
  <c r="H1812" i="94"/>
  <c r="E1812" i="94"/>
  <c r="H1811" i="94"/>
  <c r="H1810" i="94"/>
  <c r="F1810" i="94" s="1"/>
  <c r="G1810" i="94" s="1"/>
  <c r="H1809" i="94"/>
  <c r="F1809" i="94" s="1"/>
  <c r="H1808" i="94"/>
  <c r="H1807" i="94"/>
  <c r="H1806" i="94"/>
  <c r="H1805" i="94"/>
  <c r="F1805" i="94" s="1"/>
  <c r="H1804" i="94"/>
  <c r="H1803" i="94"/>
  <c r="H1802" i="94"/>
  <c r="H1801" i="94"/>
  <c r="F1801" i="94" s="1"/>
  <c r="H1800" i="94"/>
  <c r="E1800" i="94"/>
  <c r="E1799" i="94" s="1"/>
  <c r="H1799" i="94"/>
  <c r="H1797" i="94"/>
  <c r="F1797" i="94" s="1"/>
  <c r="H1796" i="94"/>
  <c r="E1796" i="94"/>
  <c r="H1795" i="94"/>
  <c r="H1794" i="94"/>
  <c r="G1794" i="94"/>
  <c r="F1794" i="94"/>
  <c r="F1793" i="94" s="1"/>
  <c r="G1793" i="94" s="1"/>
  <c r="H1793" i="94"/>
  <c r="E1793" i="94"/>
  <c r="H1792" i="94"/>
  <c r="H1791" i="94"/>
  <c r="F1791" i="94"/>
  <c r="G1791" i="94" s="1"/>
  <c r="H1790" i="94"/>
  <c r="F1790" i="94" s="1"/>
  <c r="G1790" i="94" s="1"/>
  <c r="H1789" i="94"/>
  <c r="F1789" i="94" s="1"/>
  <c r="G1789" i="94" s="1"/>
  <c r="H1788" i="94"/>
  <c r="F1788" i="94" s="1"/>
  <c r="G1788" i="94" s="1"/>
  <c r="H1787" i="94"/>
  <c r="F1787" i="94" s="1"/>
  <c r="G1787" i="94" s="1"/>
  <c r="H1786" i="94"/>
  <c r="F1786" i="94" s="1"/>
  <c r="G1786" i="94" s="1"/>
  <c r="H1785" i="94"/>
  <c r="F1785" i="94" s="1"/>
  <c r="G1785" i="94" s="1"/>
  <c r="H1784" i="94"/>
  <c r="F1784" i="94" s="1"/>
  <c r="G1784" i="94" s="1"/>
  <c r="H1783" i="94"/>
  <c r="F1783" i="94" s="1"/>
  <c r="G1783" i="94" s="1"/>
  <c r="H1782" i="94"/>
  <c r="F1782" i="94"/>
  <c r="G1782" i="94" s="1"/>
  <c r="H1781" i="94"/>
  <c r="F1781" i="94" s="1"/>
  <c r="G1781" i="94" s="1"/>
  <c r="H1780" i="94"/>
  <c r="F1780" i="94" s="1"/>
  <c r="G1780" i="94" s="1"/>
  <c r="H1779" i="94"/>
  <c r="G1779" i="94"/>
  <c r="F1779" i="94"/>
  <c r="H1778" i="94"/>
  <c r="F1778" i="94" s="1"/>
  <c r="G1778" i="94" s="1"/>
  <c r="H1777" i="94"/>
  <c r="F1777" i="94" s="1"/>
  <c r="G1777" i="94" s="1"/>
  <c r="H1776" i="94"/>
  <c r="F1776" i="94" s="1"/>
  <c r="G1776" i="94" s="1"/>
  <c r="H1775" i="94"/>
  <c r="F1775" i="94"/>
  <c r="G1775" i="94" s="1"/>
  <c r="H1774" i="94"/>
  <c r="F1774" i="94" s="1"/>
  <c r="G1774" i="94" s="1"/>
  <c r="H1773" i="94"/>
  <c r="F1773" i="94" s="1"/>
  <c r="G1773" i="94" s="1"/>
  <c r="H1772" i="94"/>
  <c r="F1772" i="94" s="1"/>
  <c r="G1772" i="94" s="1"/>
  <c r="H1771" i="94"/>
  <c r="F1771" i="94" s="1"/>
  <c r="H1770" i="94"/>
  <c r="E1770" i="94"/>
  <c r="H1769" i="94"/>
  <c r="H1768" i="94"/>
  <c r="F1768" i="94" s="1"/>
  <c r="G1768" i="94" s="1"/>
  <c r="H1767" i="94"/>
  <c r="F1767" i="94"/>
  <c r="G1767" i="94" s="1"/>
  <c r="H1766" i="94"/>
  <c r="F1766" i="94" s="1"/>
  <c r="G1766" i="94" s="1"/>
  <c r="H1765" i="94"/>
  <c r="F1765" i="94" s="1"/>
  <c r="G1765" i="94" s="1"/>
  <c r="H1764" i="94"/>
  <c r="G1764" i="94"/>
  <c r="F1764" i="94"/>
  <c r="H1763" i="94"/>
  <c r="F1763" i="94" s="1"/>
  <c r="H1762" i="94"/>
  <c r="E1762" i="94"/>
  <c r="E1761" i="94" s="1"/>
  <c r="H1761" i="94"/>
  <c r="H1760" i="94"/>
  <c r="H1759" i="94"/>
  <c r="H1758" i="94"/>
  <c r="F1758" i="94" s="1"/>
  <c r="H1757" i="94"/>
  <c r="E1757" i="94"/>
  <c r="H1756" i="94"/>
  <c r="E1756" i="94"/>
  <c r="H1755" i="94"/>
  <c r="F1755" i="94" s="1"/>
  <c r="H1754" i="94"/>
  <c r="E1754" i="94"/>
  <c r="E1753" i="94" s="1"/>
  <c r="E1752" i="94" s="1"/>
  <c r="H1753" i="94"/>
  <c r="H1752" i="94"/>
  <c r="H1751" i="94"/>
  <c r="F1751" i="94" s="1"/>
  <c r="H1750" i="94"/>
  <c r="E1750" i="94"/>
  <c r="H1749" i="94"/>
  <c r="E1749" i="94"/>
  <c r="E1748" i="94" s="1"/>
  <c r="H1748" i="94"/>
  <c r="H1747" i="94"/>
  <c r="H1746" i="94"/>
  <c r="F1746" i="94" s="1"/>
  <c r="G1746" i="94" s="1"/>
  <c r="H1745" i="94"/>
  <c r="F1745" i="94" s="1"/>
  <c r="H1744" i="94"/>
  <c r="E1744" i="94"/>
  <c r="H1743" i="94"/>
  <c r="H1742" i="94"/>
  <c r="F1742" i="94" s="1"/>
  <c r="G1742" i="94" s="1"/>
  <c r="H1741" i="94"/>
  <c r="F1741" i="94" s="1"/>
  <c r="H1740" i="94"/>
  <c r="E1740" i="94"/>
  <c r="E1739" i="94" s="1"/>
  <c r="H1739" i="94"/>
  <c r="H1738" i="94"/>
  <c r="H1737" i="94"/>
  <c r="F1737" i="94" s="1"/>
  <c r="G1737" i="94" s="1"/>
  <c r="H1736" i="94"/>
  <c r="F1736" i="94"/>
  <c r="G1736" i="94" s="1"/>
  <c r="H1735" i="94"/>
  <c r="F1735" i="94" s="1"/>
  <c r="H1734" i="94"/>
  <c r="E1734" i="94"/>
  <c r="H1733" i="94"/>
  <c r="H1732" i="94"/>
  <c r="F1732" i="94" s="1"/>
  <c r="G1732" i="94" s="1"/>
  <c r="H1731" i="94"/>
  <c r="F1731" i="94" s="1"/>
  <c r="H1730" i="94"/>
  <c r="E1730" i="94"/>
  <c r="H1729" i="94"/>
  <c r="H1728" i="94"/>
  <c r="F1728" i="94" s="1"/>
  <c r="H1727" i="94"/>
  <c r="E1727" i="94"/>
  <c r="H1726" i="94"/>
  <c r="H1725" i="94"/>
  <c r="F1725" i="94" s="1"/>
  <c r="H1724" i="94"/>
  <c r="E1724" i="94"/>
  <c r="H1723" i="94"/>
  <c r="E1723" i="94"/>
  <c r="H1722" i="94"/>
  <c r="H1721" i="94"/>
  <c r="H1720" i="94"/>
  <c r="F1720" i="94" s="1"/>
  <c r="H1719" i="94"/>
  <c r="E1719" i="94"/>
  <c r="H1718" i="94"/>
  <c r="H1717" i="94"/>
  <c r="F1717" i="94" s="1"/>
  <c r="G1717" i="94" s="1"/>
  <c r="H1716" i="94"/>
  <c r="F1716" i="94" s="1"/>
  <c r="G1716" i="94" s="1"/>
  <c r="H1715" i="94"/>
  <c r="F1715" i="94"/>
  <c r="H1714" i="94"/>
  <c r="E1714" i="94"/>
  <c r="H1713" i="94"/>
  <c r="E1713" i="94"/>
  <c r="E1712" i="94" s="1"/>
  <c r="E1711" i="94" s="1"/>
  <c r="H1712" i="94"/>
  <c r="H1711" i="94"/>
  <c r="H1710" i="94"/>
  <c r="F1710" i="94" s="1"/>
  <c r="H1709" i="94"/>
  <c r="E1709" i="94"/>
  <c r="E1708" i="94" s="1"/>
  <c r="E1707" i="94" s="1"/>
  <c r="E1706" i="94" s="1"/>
  <c r="H1708" i="94"/>
  <c r="H1707" i="94"/>
  <c r="H1706" i="94"/>
  <c r="H1705" i="94"/>
  <c r="F1705" i="94" s="1"/>
  <c r="H1704" i="94"/>
  <c r="E1704" i="94"/>
  <c r="H1703" i="94"/>
  <c r="E1703" i="94"/>
  <c r="H1702" i="94"/>
  <c r="F1702" i="94" s="1"/>
  <c r="H1701" i="94"/>
  <c r="E1701" i="94"/>
  <c r="H1700" i="94"/>
  <c r="H1699" i="94"/>
  <c r="F1699" i="94" s="1"/>
  <c r="G1699" i="94" s="1"/>
  <c r="H1698" i="94"/>
  <c r="F1698" i="94"/>
  <c r="G1698" i="94" s="1"/>
  <c r="H1697" i="94"/>
  <c r="F1697" i="94" s="1"/>
  <c r="H1696" i="94"/>
  <c r="E1696" i="94"/>
  <c r="H1695" i="94"/>
  <c r="E1695" i="94"/>
  <c r="H1694" i="94"/>
  <c r="H1693" i="94"/>
  <c r="H1692" i="94"/>
  <c r="F1692" i="94" s="1"/>
  <c r="H1691" i="94"/>
  <c r="E1691" i="94"/>
  <c r="H1690" i="94"/>
  <c r="E1690" i="94"/>
  <c r="E1689" i="94" s="1"/>
  <c r="H1689" i="94"/>
  <c r="H1688" i="94"/>
  <c r="G1688" i="94"/>
  <c r="F1688" i="94"/>
  <c r="F1687" i="94" s="1"/>
  <c r="H1687" i="94"/>
  <c r="E1687" i="94"/>
  <c r="E1686" i="94" s="1"/>
  <c r="E1685" i="94" s="1"/>
  <c r="E1684" i="94" s="1"/>
  <c r="H1686" i="94"/>
  <c r="H1685" i="94"/>
  <c r="H1684" i="94"/>
  <c r="H1683" i="94"/>
  <c r="F1683" i="94" s="1"/>
  <c r="H1682" i="94"/>
  <c r="E1682" i="94"/>
  <c r="E1681" i="94" s="1"/>
  <c r="H1681" i="94"/>
  <c r="H1680" i="94"/>
  <c r="H1679" i="94"/>
  <c r="F1679" i="94"/>
  <c r="H1678" i="94"/>
  <c r="E1678" i="94"/>
  <c r="H1677" i="94"/>
  <c r="H1676" i="94"/>
  <c r="F1676" i="94"/>
  <c r="H1675" i="94"/>
  <c r="E1675" i="94"/>
  <c r="E1674" i="94" s="1"/>
  <c r="H1674" i="94"/>
  <c r="H1673" i="94"/>
  <c r="H1672" i="94"/>
  <c r="H1671" i="94"/>
  <c r="F1671" i="94" s="1"/>
  <c r="H1670" i="94"/>
  <c r="E1670" i="94"/>
  <c r="E1669" i="94" s="1"/>
  <c r="H1669" i="94"/>
  <c r="H1668" i="94"/>
  <c r="H1667" i="94"/>
  <c r="F1667" i="94" s="1"/>
  <c r="H1666" i="94"/>
  <c r="E1666" i="94"/>
  <c r="H1665" i="94"/>
  <c r="E1665" i="94"/>
  <c r="E1664" i="94" s="1"/>
  <c r="H1664" i="94"/>
  <c r="H1663" i="94"/>
  <c r="F1663" i="94" s="1"/>
  <c r="H1662" i="94"/>
  <c r="E1662" i="94"/>
  <c r="E1661" i="94" s="1"/>
  <c r="H1661" i="94"/>
  <c r="H1660" i="94"/>
  <c r="H1659" i="94"/>
  <c r="F1659" i="94" s="1"/>
  <c r="H1658" i="94"/>
  <c r="E1658" i="94"/>
  <c r="H1657" i="94"/>
  <c r="E1657" i="94"/>
  <c r="H1656" i="94"/>
  <c r="H1655" i="94"/>
  <c r="F1655" i="94" s="1"/>
  <c r="G1655" i="94" s="1"/>
  <c r="H1654" i="94"/>
  <c r="E1654" i="94"/>
  <c r="H1653" i="94"/>
  <c r="E1653" i="94"/>
  <c r="H1652" i="94"/>
  <c r="H1651" i="94"/>
  <c r="F1651" i="94"/>
  <c r="H1650" i="94"/>
  <c r="E1650" i="94"/>
  <c r="H1649" i="94"/>
  <c r="H1648" i="94"/>
  <c r="F1648" i="94" s="1"/>
  <c r="H1647" i="94"/>
  <c r="E1647" i="94"/>
  <c r="H1646" i="94"/>
  <c r="E1646" i="94"/>
  <c r="E1645" i="94" s="1"/>
  <c r="H1645" i="94"/>
  <c r="H1644" i="94"/>
  <c r="E1644" i="94"/>
  <c r="H1643" i="94"/>
  <c r="F1643" i="94" s="1"/>
  <c r="H1642" i="94"/>
  <c r="E1642" i="94"/>
  <c r="E1641" i="94" s="1"/>
  <c r="E1640" i="94" s="1"/>
  <c r="H1641" i="94"/>
  <c r="H1640" i="94"/>
  <c r="H1639" i="94"/>
  <c r="F1639" i="94" s="1"/>
  <c r="G1639" i="94" s="1"/>
  <c r="H1638" i="94"/>
  <c r="F1638" i="94" s="1"/>
  <c r="G1638" i="94" s="1"/>
  <c r="H1637" i="94"/>
  <c r="F1637" i="94"/>
  <c r="G1637" i="94" s="1"/>
  <c r="H1636" i="94"/>
  <c r="E1636" i="94"/>
  <c r="H1635" i="94"/>
  <c r="E1635" i="94"/>
  <c r="H1634" i="94"/>
  <c r="H1633" i="94"/>
  <c r="F1633" i="94"/>
  <c r="G1633" i="94" s="1"/>
  <c r="H1632" i="94"/>
  <c r="F1632" i="94" s="1"/>
  <c r="H1631" i="94"/>
  <c r="E1631" i="94"/>
  <c r="H1630" i="94"/>
  <c r="H1629" i="94"/>
  <c r="F1629" i="94" s="1"/>
  <c r="H1628" i="94"/>
  <c r="E1628" i="94"/>
  <c r="E1627" i="94" s="1"/>
  <c r="H1627" i="94"/>
  <c r="H1626" i="94"/>
  <c r="H1625" i="94"/>
  <c r="H1624" i="94"/>
  <c r="H1623" i="94"/>
  <c r="F1623" i="94" s="1"/>
  <c r="G1623" i="94" s="1"/>
  <c r="H1622" i="94"/>
  <c r="F1622" i="94" s="1"/>
  <c r="H1621" i="94"/>
  <c r="E1621" i="94"/>
  <c r="E1620" i="94" s="1"/>
  <c r="H1620" i="94"/>
  <c r="H1619" i="94"/>
  <c r="H1618" i="94"/>
  <c r="F1618" i="94" s="1"/>
  <c r="G1618" i="94" s="1"/>
  <c r="H1617" i="94"/>
  <c r="F1617" i="94"/>
  <c r="G1617" i="94" s="1"/>
  <c r="H1616" i="94"/>
  <c r="E1616" i="94"/>
  <c r="H1615" i="94"/>
  <c r="H1614" i="94"/>
  <c r="F1614" i="94" s="1"/>
  <c r="F1613" i="94" s="1"/>
  <c r="F1612" i="94" s="1"/>
  <c r="H1613" i="94"/>
  <c r="E1613" i="94"/>
  <c r="H1612" i="94"/>
  <c r="E1612" i="94"/>
  <c r="H1611" i="94"/>
  <c r="H1610" i="94"/>
  <c r="H1609" i="94"/>
  <c r="F1609" i="94" s="1"/>
  <c r="H1608" i="94"/>
  <c r="E1608" i="94"/>
  <c r="H1607" i="94"/>
  <c r="H1606" i="94"/>
  <c r="F1606" i="94" s="1"/>
  <c r="H1605" i="94"/>
  <c r="E1605" i="94"/>
  <c r="H1604" i="94"/>
  <c r="H1603" i="94"/>
  <c r="F1603" i="94"/>
  <c r="G1603" i="94" s="1"/>
  <c r="H1602" i="94"/>
  <c r="F1602" i="94" s="1"/>
  <c r="H1601" i="94"/>
  <c r="E1601" i="94"/>
  <c r="E1600" i="94" s="1"/>
  <c r="E1599" i="94" s="1"/>
  <c r="E1598" i="94" s="1"/>
  <c r="H1600" i="94"/>
  <c r="H1599" i="94"/>
  <c r="H1598" i="94"/>
  <c r="H1597" i="94"/>
  <c r="H1596" i="94"/>
  <c r="F1596" i="94" s="1"/>
  <c r="G1596" i="94" s="1"/>
  <c r="H1595" i="94"/>
  <c r="F1595" i="94" s="1"/>
  <c r="G1595" i="94" s="1"/>
  <c r="H1594" i="94"/>
  <c r="F1594" i="94" s="1"/>
  <c r="G1594" i="94" s="1"/>
  <c r="H1593" i="94"/>
  <c r="F1593" i="94"/>
  <c r="H1592" i="94"/>
  <c r="E1592" i="94"/>
  <c r="E1591" i="94" s="1"/>
  <c r="H1591" i="94"/>
  <c r="H1590" i="94"/>
  <c r="H1589" i="94"/>
  <c r="F1589" i="94" s="1"/>
  <c r="G1589" i="94" s="1"/>
  <c r="H1588" i="94"/>
  <c r="F1588" i="94" s="1"/>
  <c r="H1587" i="94"/>
  <c r="E1587" i="94"/>
  <c r="H1586" i="94"/>
  <c r="H1585" i="94"/>
  <c r="F1585" i="94" s="1"/>
  <c r="G1585" i="94" s="1"/>
  <c r="H1584" i="94"/>
  <c r="F1584" i="94" s="1"/>
  <c r="G1584" i="94" s="1"/>
  <c r="H1583" i="94"/>
  <c r="F1583" i="94" s="1"/>
  <c r="H1582" i="94"/>
  <c r="E1582" i="94"/>
  <c r="H1581" i="94"/>
  <c r="H1580" i="94"/>
  <c r="F1580" i="94"/>
  <c r="G1580" i="94" s="1"/>
  <c r="H1579" i="94"/>
  <c r="F1579" i="94" s="1"/>
  <c r="G1579" i="94" s="1"/>
  <c r="H1578" i="94"/>
  <c r="F1578" i="94" s="1"/>
  <c r="G1578" i="94" s="1"/>
  <c r="H1577" i="94"/>
  <c r="F1577" i="94" s="1"/>
  <c r="G1577" i="94" s="1"/>
  <c r="H1576" i="94"/>
  <c r="F1576" i="94"/>
  <c r="G1576" i="94" s="1"/>
  <c r="H1575" i="94"/>
  <c r="F1575" i="94" s="1"/>
  <c r="H1574" i="94"/>
  <c r="E1574" i="94"/>
  <c r="H1573" i="94"/>
  <c r="H1572" i="94"/>
  <c r="F1572" i="94"/>
  <c r="G1572" i="94" s="1"/>
  <c r="H1571" i="94"/>
  <c r="F1571" i="94" s="1"/>
  <c r="G1571" i="94" s="1"/>
  <c r="H1570" i="94"/>
  <c r="F1570" i="94" s="1"/>
  <c r="G1570" i="94" s="1"/>
  <c r="H1569" i="94"/>
  <c r="E1569" i="94"/>
  <c r="E1562" i="94" s="1"/>
  <c r="H1568" i="94"/>
  <c r="H1567" i="94"/>
  <c r="F1567" i="94" s="1"/>
  <c r="G1567" i="94" s="1"/>
  <c r="H1566" i="94"/>
  <c r="G1566" i="94"/>
  <c r="F1566" i="94"/>
  <c r="H1565" i="94"/>
  <c r="F1565" i="94"/>
  <c r="G1565" i="94" s="1"/>
  <c r="H1564" i="94"/>
  <c r="F1564" i="94" s="1"/>
  <c r="H1563" i="94"/>
  <c r="E1563" i="94"/>
  <c r="H1562" i="94"/>
  <c r="H1561" i="94"/>
  <c r="H1560" i="94"/>
  <c r="H1559" i="94"/>
  <c r="F1559" i="94" s="1"/>
  <c r="G1559" i="94" s="1"/>
  <c r="H1558" i="94"/>
  <c r="F1558" i="94"/>
  <c r="G1558" i="94" s="1"/>
  <c r="H1557" i="94"/>
  <c r="F1557" i="94" s="1"/>
  <c r="G1557" i="94" s="1"/>
  <c r="H1556" i="94"/>
  <c r="F1556" i="94" s="1"/>
  <c r="G1556" i="94" s="1"/>
  <c r="H1555" i="94"/>
  <c r="F1555" i="94" s="1"/>
  <c r="G1555" i="94" s="1"/>
  <c r="H1554" i="94"/>
  <c r="F1554" i="94" s="1"/>
  <c r="H1553" i="94"/>
  <c r="E1553" i="94"/>
  <c r="E1546" i="94" s="1"/>
  <c r="E1545" i="94" s="1"/>
  <c r="E1544" i="94" s="1"/>
  <c r="H1552" i="94"/>
  <c r="H1551" i="94"/>
  <c r="F1551" i="94"/>
  <c r="G1551" i="94" s="1"/>
  <c r="H1550" i="94"/>
  <c r="F1550" i="94" s="1"/>
  <c r="G1550" i="94" s="1"/>
  <c r="H1549" i="94"/>
  <c r="F1549" i="94" s="1"/>
  <c r="G1549" i="94" s="1"/>
  <c r="H1548" i="94"/>
  <c r="F1548" i="94" s="1"/>
  <c r="G1548" i="94" s="1"/>
  <c r="H1547" i="94"/>
  <c r="E1547" i="94"/>
  <c r="H1546" i="94"/>
  <c r="H1545" i="94"/>
  <c r="H1544" i="94"/>
  <c r="H1543" i="94"/>
  <c r="F1543" i="94"/>
  <c r="H1542" i="94"/>
  <c r="F1542" i="94" s="1"/>
  <c r="G1542" i="94" s="1"/>
  <c r="H1541" i="94"/>
  <c r="F1541" i="94" s="1"/>
  <c r="G1541" i="94"/>
  <c r="H1540" i="94"/>
  <c r="F1540" i="94" s="1"/>
  <c r="G1540" i="94" s="1"/>
  <c r="H1539" i="94"/>
  <c r="E1539" i="94"/>
  <c r="H1538" i="94"/>
  <c r="H1537" i="94"/>
  <c r="G1537" i="94"/>
  <c r="F1537" i="94"/>
  <c r="H1536" i="94"/>
  <c r="F1536" i="94"/>
  <c r="G1536" i="94" s="1"/>
  <c r="H1535" i="94"/>
  <c r="F1535" i="94" s="1"/>
  <c r="G1535" i="94" s="1"/>
  <c r="H1534" i="94"/>
  <c r="F1534" i="94" s="1"/>
  <c r="G1534" i="94"/>
  <c r="H1533" i="94"/>
  <c r="F1533" i="94" s="1"/>
  <c r="G1533" i="94" s="1"/>
  <c r="H1532" i="94"/>
  <c r="E1532" i="94"/>
  <c r="H1531" i="94"/>
  <c r="E1531" i="94"/>
  <c r="H1530" i="94"/>
  <c r="H1529" i="94"/>
  <c r="F1529" i="94" s="1"/>
  <c r="G1529" i="94" s="1"/>
  <c r="H1528" i="94"/>
  <c r="F1528" i="94" s="1"/>
  <c r="G1528" i="94" s="1"/>
  <c r="H1527" i="94"/>
  <c r="F1527" i="94"/>
  <c r="G1527" i="94" s="1"/>
  <c r="H1526" i="94"/>
  <c r="F1526" i="94" s="1"/>
  <c r="G1526" i="94" s="1"/>
  <c r="H1525" i="94"/>
  <c r="E1525" i="94"/>
  <c r="H1524" i="94"/>
  <c r="H1523" i="94"/>
  <c r="F1523" i="94" s="1"/>
  <c r="G1523" i="94" s="1"/>
  <c r="H1522" i="94"/>
  <c r="E1522" i="94"/>
  <c r="H1521" i="94"/>
  <c r="H1520" i="94"/>
  <c r="F1520" i="94" s="1"/>
  <c r="G1520" i="94"/>
  <c r="H1519" i="94"/>
  <c r="F1519" i="94" s="1"/>
  <c r="H1518" i="94"/>
  <c r="F1518" i="94"/>
  <c r="G1518" i="94" s="1"/>
  <c r="H1517" i="94"/>
  <c r="F1517" i="94" s="1"/>
  <c r="G1517" i="94" s="1"/>
  <c r="H1516" i="94"/>
  <c r="F1516" i="94"/>
  <c r="G1516" i="94" s="1"/>
  <c r="H1515" i="94"/>
  <c r="F1515" i="94" s="1"/>
  <c r="G1515" i="94" s="1"/>
  <c r="H1514" i="94"/>
  <c r="F1514" i="94"/>
  <c r="G1514" i="94" s="1"/>
  <c r="H1513" i="94"/>
  <c r="F1513" i="94" s="1"/>
  <c r="G1513" i="94" s="1"/>
  <c r="H1512" i="94"/>
  <c r="F1512" i="94" s="1"/>
  <c r="G1512" i="94"/>
  <c r="H1511" i="94"/>
  <c r="F1511" i="94" s="1"/>
  <c r="G1511" i="94" s="1"/>
  <c r="H1510" i="94"/>
  <c r="G1510" i="94"/>
  <c r="F1510" i="94"/>
  <c r="H1509" i="94"/>
  <c r="F1509" i="94" s="1"/>
  <c r="G1509" i="94" s="1"/>
  <c r="H1508" i="94"/>
  <c r="F1508" i="94" s="1"/>
  <c r="G1508" i="94"/>
  <c r="H1507" i="94"/>
  <c r="F1507" i="94" s="1"/>
  <c r="G1507" i="94" s="1"/>
  <c r="H1506" i="94"/>
  <c r="G1506" i="94"/>
  <c r="F1506" i="94"/>
  <c r="H1505" i="94"/>
  <c r="F1505" i="94" s="1"/>
  <c r="G1505" i="94" s="1"/>
  <c r="H1504" i="94"/>
  <c r="F1504" i="94" s="1"/>
  <c r="G1504" i="94"/>
  <c r="H1503" i="94"/>
  <c r="E1503" i="94"/>
  <c r="H1502" i="94"/>
  <c r="H1501" i="94"/>
  <c r="F1501" i="94" s="1"/>
  <c r="H1500" i="94"/>
  <c r="F1500" i="94"/>
  <c r="H1499" i="94"/>
  <c r="F1499" i="94" s="1"/>
  <c r="G1499" i="94" s="1"/>
  <c r="H1498" i="94"/>
  <c r="F1498" i="94"/>
  <c r="G1498" i="94" s="1"/>
  <c r="H1497" i="94"/>
  <c r="F1497" i="94" s="1"/>
  <c r="G1497" i="94" s="1"/>
  <c r="H1496" i="94"/>
  <c r="F1496" i="94" s="1"/>
  <c r="G1496" i="94" s="1"/>
  <c r="H1495" i="94"/>
  <c r="F1495" i="94" s="1"/>
  <c r="G1495" i="94" s="1"/>
  <c r="H1494" i="94"/>
  <c r="F1494" i="94"/>
  <c r="H1493" i="94"/>
  <c r="E1493" i="94"/>
  <c r="H1492" i="94"/>
  <c r="H1491" i="94"/>
  <c r="H1490" i="94"/>
  <c r="H1489" i="94"/>
  <c r="F1489" i="94"/>
  <c r="G1489" i="94" s="1"/>
  <c r="H1488" i="94"/>
  <c r="F1488" i="94" s="1"/>
  <c r="H1487" i="94"/>
  <c r="E1487" i="94"/>
  <c r="H1486" i="94"/>
  <c r="G1486" i="94"/>
  <c r="H1485" i="94"/>
  <c r="F1485" i="94"/>
  <c r="G1485" i="94" s="1"/>
  <c r="H1484" i="94"/>
  <c r="F1484" i="94" s="1"/>
  <c r="G1484" i="94" s="1"/>
  <c r="H1483" i="94"/>
  <c r="F1483" i="94" s="1"/>
  <c r="G1483" i="94" s="1"/>
  <c r="H1482" i="94"/>
  <c r="F1482" i="94"/>
  <c r="H1481" i="94"/>
  <c r="E1481" i="94"/>
  <c r="E1480" i="94" s="1"/>
  <c r="H1480" i="94"/>
  <c r="H1479" i="94"/>
  <c r="H1478" i="94"/>
  <c r="F1478" i="94" s="1"/>
  <c r="G1478" i="94" s="1"/>
  <c r="H1477" i="94"/>
  <c r="F1477" i="94"/>
  <c r="G1477" i="94" s="1"/>
  <c r="H1476" i="94"/>
  <c r="F1476" i="94" s="1"/>
  <c r="G1476" i="94" s="1"/>
  <c r="H1475" i="94"/>
  <c r="F1475" i="94" s="1"/>
  <c r="G1475" i="94"/>
  <c r="H1474" i="94"/>
  <c r="F1474" i="94" s="1"/>
  <c r="G1474" i="94" s="1"/>
  <c r="H1473" i="94"/>
  <c r="G1473" i="94"/>
  <c r="F1473" i="94"/>
  <c r="H1472" i="94"/>
  <c r="F1472" i="94" s="1"/>
  <c r="G1472" i="94" s="1"/>
  <c r="H1471" i="94"/>
  <c r="F1471" i="94" s="1"/>
  <c r="G1471" i="94"/>
  <c r="H1470" i="94"/>
  <c r="F1470" i="94" s="1"/>
  <c r="G1470" i="94" s="1"/>
  <c r="H1469" i="94"/>
  <c r="G1469" i="94"/>
  <c r="F1469" i="94"/>
  <c r="H1468" i="94"/>
  <c r="F1468" i="94" s="1"/>
  <c r="G1468" i="94" s="1"/>
  <c r="H1467" i="94"/>
  <c r="F1467" i="94" s="1"/>
  <c r="G1467" i="94"/>
  <c r="H1466" i="94"/>
  <c r="F1466" i="94" s="1"/>
  <c r="G1466" i="94" s="1"/>
  <c r="H1465" i="94"/>
  <c r="G1465" i="94"/>
  <c r="F1465" i="94"/>
  <c r="H1464" i="94"/>
  <c r="F1464" i="94" s="1"/>
  <c r="G1464" i="94" s="1"/>
  <c r="H1463" i="94"/>
  <c r="F1463" i="94" s="1"/>
  <c r="G1463" i="94"/>
  <c r="H1462" i="94"/>
  <c r="F1462" i="94" s="1"/>
  <c r="G1462" i="94" s="1"/>
  <c r="H1461" i="94"/>
  <c r="F1461" i="94"/>
  <c r="G1461" i="94" s="1"/>
  <c r="H1460" i="94"/>
  <c r="F1460" i="94" s="1"/>
  <c r="G1460" i="94" s="1"/>
  <c r="H1459" i="94"/>
  <c r="F1459" i="94" s="1"/>
  <c r="G1459" i="94"/>
  <c r="H1458" i="94"/>
  <c r="F1458" i="94" s="1"/>
  <c r="G1458" i="94" s="1"/>
  <c r="H1457" i="94"/>
  <c r="G1457" i="94"/>
  <c r="F1457" i="94"/>
  <c r="F1456" i="94"/>
  <c r="G1456" i="94" s="1"/>
  <c r="H1455" i="94"/>
  <c r="F1455" i="94" s="1"/>
  <c r="G1455" i="94" s="1"/>
  <c r="H1454" i="94"/>
  <c r="G1454" i="94"/>
  <c r="F1454" i="94"/>
  <c r="G1453" i="94"/>
  <c r="F1453" i="94"/>
  <c r="H1452" i="94"/>
  <c r="F1452" i="94" s="1"/>
  <c r="G1452" i="94" s="1"/>
  <c r="H1451" i="94"/>
  <c r="F1451" i="94" s="1"/>
  <c r="G1451" i="94" s="1"/>
  <c r="H1450" i="94"/>
  <c r="F1450" i="94" s="1"/>
  <c r="G1450" i="94" s="1"/>
  <c r="H1449" i="94"/>
  <c r="F1449" i="94" s="1"/>
  <c r="G1449" i="94" s="1"/>
  <c r="H1448" i="94"/>
  <c r="F1448" i="94" s="1"/>
  <c r="G1448" i="94" s="1"/>
  <c r="H1447" i="94"/>
  <c r="F1447" i="94" s="1"/>
  <c r="G1447" i="94" s="1"/>
  <c r="H1446" i="94"/>
  <c r="F1446" i="94" s="1"/>
  <c r="G1446" i="94" s="1"/>
  <c r="H1445" i="94"/>
  <c r="F1445" i="94" s="1"/>
  <c r="G1445" i="94" s="1"/>
  <c r="H1444" i="94"/>
  <c r="F1444" i="94" s="1"/>
  <c r="G1444" i="94" s="1"/>
  <c r="H1443" i="94"/>
  <c r="F1443" i="94" s="1"/>
  <c r="G1443" i="94" s="1"/>
  <c r="H1442" i="94"/>
  <c r="F1442" i="94" s="1"/>
  <c r="G1442" i="94" s="1"/>
  <c r="H1441" i="94"/>
  <c r="F1441" i="94" s="1"/>
  <c r="G1441" i="94" s="1"/>
  <c r="H1440" i="94"/>
  <c r="F1440" i="94" s="1"/>
  <c r="G1440" i="94" s="1"/>
  <c r="H1439" i="94"/>
  <c r="F1439" i="94" s="1"/>
  <c r="G1439" i="94" s="1"/>
  <c r="H1438" i="94"/>
  <c r="F1438" i="94" s="1"/>
  <c r="G1438" i="94" s="1"/>
  <c r="H1437" i="94"/>
  <c r="F1437" i="94" s="1"/>
  <c r="G1437" i="94" s="1"/>
  <c r="H1436" i="94"/>
  <c r="F1436" i="94" s="1"/>
  <c r="H1435" i="94"/>
  <c r="E1435" i="94"/>
  <c r="H1434" i="94"/>
  <c r="H1433" i="94"/>
  <c r="F1433" i="94"/>
  <c r="H1432" i="94"/>
  <c r="E1432" i="94"/>
  <c r="H1431" i="94"/>
  <c r="H1430" i="94"/>
  <c r="F1430" i="94" s="1"/>
  <c r="G1430" i="94" s="1"/>
  <c r="H1429" i="94"/>
  <c r="F1429" i="94"/>
  <c r="G1429" i="94" s="1"/>
  <c r="H1428" i="94"/>
  <c r="F1428" i="94" s="1"/>
  <c r="G1428" i="94" s="1"/>
  <c r="H1427" i="94"/>
  <c r="F1427" i="94" s="1"/>
  <c r="G1427" i="94" s="1"/>
  <c r="H1426" i="94"/>
  <c r="F1426" i="94" s="1"/>
  <c r="G1426" i="94" s="1"/>
  <c r="H1425" i="94"/>
  <c r="F1425" i="94"/>
  <c r="G1425" i="94" s="1"/>
  <c r="H1424" i="94"/>
  <c r="F1424" i="94" s="1"/>
  <c r="G1424" i="94" s="1"/>
  <c r="H1423" i="94"/>
  <c r="F1423" i="94" s="1"/>
  <c r="G1423" i="94" s="1"/>
  <c r="H1422" i="94"/>
  <c r="F1422" i="94" s="1"/>
  <c r="G1422" i="94" s="1"/>
  <c r="H1421" i="94"/>
  <c r="F1421" i="94"/>
  <c r="G1421" i="94" s="1"/>
  <c r="H1420" i="94"/>
  <c r="F1420" i="94" s="1"/>
  <c r="G1420" i="94" s="1"/>
  <c r="H1419" i="94"/>
  <c r="F1419" i="94" s="1"/>
  <c r="G1419" i="94" s="1"/>
  <c r="H1418" i="94"/>
  <c r="E1418" i="94"/>
  <c r="H1417" i="94"/>
  <c r="H1416" i="94"/>
  <c r="F1416" i="94" s="1"/>
  <c r="H1415" i="94"/>
  <c r="F1415" i="94" s="1"/>
  <c r="H1414" i="94"/>
  <c r="F1414" i="94" s="1"/>
  <c r="G1414" i="94" s="1"/>
  <c r="H1413" i="94"/>
  <c r="F1413" i="94" s="1"/>
  <c r="G1413" i="94" s="1"/>
  <c r="H1412" i="94"/>
  <c r="F1412" i="94" s="1"/>
  <c r="G1412" i="94" s="1"/>
  <c r="H1411" i="94"/>
  <c r="F1411" i="94" s="1"/>
  <c r="G1411" i="94" s="1"/>
  <c r="H1410" i="94"/>
  <c r="F1410" i="94" s="1"/>
  <c r="G1410" i="94" s="1"/>
  <c r="H1409" i="94"/>
  <c r="F1409" i="94" s="1"/>
  <c r="H1408" i="94"/>
  <c r="E1408" i="94"/>
  <c r="E1407" i="94" s="1"/>
  <c r="E1406" i="94" s="1"/>
  <c r="H1407" i="94"/>
  <c r="H1406" i="94"/>
  <c r="H1405" i="94"/>
  <c r="H1404" i="94"/>
  <c r="H1403" i="94"/>
  <c r="F1403" i="94"/>
  <c r="H1402" i="94"/>
  <c r="E1402" i="94"/>
  <c r="E1401" i="94" s="1"/>
  <c r="H1401" i="94"/>
  <c r="H1400" i="94"/>
  <c r="H1399" i="94"/>
  <c r="F1399" i="94" s="1"/>
  <c r="G1399" i="94" s="1"/>
  <c r="H1398" i="94"/>
  <c r="G1398" i="94"/>
  <c r="F1398" i="94"/>
  <c r="H1397" i="94"/>
  <c r="F1397" i="94" s="1"/>
  <c r="G1397" i="94" s="1"/>
  <c r="H1396" i="94"/>
  <c r="F1396" i="94" s="1"/>
  <c r="G1396" i="94"/>
  <c r="H1395" i="94"/>
  <c r="F1395" i="94" s="1"/>
  <c r="G1395" i="94" s="1"/>
  <c r="H1394" i="94"/>
  <c r="G1394" i="94"/>
  <c r="F1394" i="94"/>
  <c r="H1393" i="94"/>
  <c r="F1393" i="94" s="1"/>
  <c r="G1393" i="94" s="1"/>
  <c r="H1392" i="94"/>
  <c r="F1392" i="94" s="1"/>
  <c r="G1392" i="94"/>
  <c r="H1391" i="94"/>
  <c r="F1391" i="94" s="1"/>
  <c r="G1391" i="94" s="1"/>
  <c r="H1390" i="94"/>
  <c r="G1390" i="94"/>
  <c r="F1390" i="94"/>
  <c r="H1389" i="94"/>
  <c r="F1389" i="94" s="1"/>
  <c r="G1389" i="94" s="1"/>
  <c r="H1388" i="94"/>
  <c r="F1388" i="94" s="1"/>
  <c r="G1388" i="94"/>
  <c r="H1387" i="94"/>
  <c r="F1387" i="94" s="1"/>
  <c r="H1386" i="94"/>
  <c r="G1386" i="94"/>
  <c r="F1386" i="94"/>
  <c r="H1385" i="94"/>
  <c r="F1385" i="94" s="1"/>
  <c r="G1385" i="94" s="1"/>
  <c r="H1384" i="94"/>
  <c r="F1384" i="94" s="1"/>
  <c r="G1384" i="94"/>
  <c r="H1383" i="94"/>
  <c r="E1383" i="94"/>
  <c r="H1382" i="94"/>
  <c r="H1381" i="94"/>
  <c r="F1381" i="94" s="1"/>
  <c r="G1381" i="94"/>
  <c r="H1380" i="94"/>
  <c r="F1380" i="94"/>
  <c r="H1379" i="94"/>
  <c r="E1379" i="94"/>
  <c r="H1378" i="94"/>
  <c r="H1377" i="94"/>
  <c r="F1377" i="94" s="1"/>
  <c r="H1376" i="94"/>
  <c r="E1376" i="94"/>
  <c r="H1375" i="94"/>
  <c r="H1374" i="94"/>
  <c r="F1374" i="94"/>
  <c r="G1374" i="94" s="1"/>
  <c r="H1373" i="94"/>
  <c r="G1373" i="94"/>
  <c r="F1373" i="94"/>
  <c r="H1372" i="94"/>
  <c r="F1372" i="94" s="1"/>
  <c r="G1372" i="94" s="1"/>
  <c r="H1371" i="94"/>
  <c r="F1371" i="94" s="1"/>
  <c r="G1371" i="94"/>
  <c r="H1370" i="94"/>
  <c r="F1370" i="94"/>
  <c r="G1370" i="94" s="1"/>
  <c r="H1369" i="94"/>
  <c r="G1369" i="94"/>
  <c r="F1369" i="94"/>
  <c r="H1368" i="94"/>
  <c r="F1368" i="94" s="1"/>
  <c r="G1368" i="94" s="1"/>
  <c r="H1367" i="94"/>
  <c r="F1367" i="94" s="1"/>
  <c r="G1367" i="94"/>
  <c r="H1366" i="94"/>
  <c r="F1366" i="94"/>
  <c r="G1366" i="94" s="1"/>
  <c r="H1365" i="94"/>
  <c r="G1365" i="94"/>
  <c r="F1365" i="94"/>
  <c r="H1364" i="94"/>
  <c r="F1364" i="94" s="1"/>
  <c r="G1364" i="94" s="1"/>
  <c r="H1363" i="94"/>
  <c r="F1363" i="94" s="1"/>
  <c r="G1363" i="94"/>
  <c r="H1362" i="94"/>
  <c r="F1362" i="94"/>
  <c r="G1362" i="94" s="1"/>
  <c r="H1361" i="94"/>
  <c r="G1361" i="94"/>
  <c r="F1361" i="94"/>
  <c r="H1360" i="94"/>
  <c r="F1360" i="94" s="1"/>
  <c r="G1360" i="94" s="1"/>
  <c r="H1359" i="94"/>
  <c r="F1359" i="94" s="1"/>
  <c r="G1359" i="94"/>
  <c r="H1358" i="94"/>
  <c r="F1358" i="94"/>
  <c r="H1357" i="94"/>
  <c r="G1357" i="94"/>
  <c r="F1357" i="94"/>
  <c r="H1356" i="94"/>
  <c r="E1356" i="94"/>
  <c r="H1355" i="94"/>
  <c r="H1354" i="94"/>
  <c r="F1354" i="94"/>
  <c r="H1353" i="94"/>
  <c r="F1353" i="94"/>
  <c r="H1352" i="94"/>
  <c r="F1352" i="94" s="1"/>
  <c r="G1352" i="94" s="1"/>
  <c r="H1351" i="94"/>
  <c r="F1351" i="94" s="1"/>
  <c r="G1351" i="94" s="1"/>
  <c r="H1350" i="94"/>
  <c r="F1350" i="94" s="1"/>
  <c r="G1350" i="94"/>
  <c r="H1349" i="94"/>
  <c r="F1349" i="94"/>
  <c r="G1349" i="94" s="1"/>
  <c r="H1348" i="94"/>
  <c r="F1348" i="94" s="1"/>
  <c r="G1348" i="94" s="1"/>
  <c r="H1347" i="94"/>
  <c r="F1347" i="94" s="1"/>
  <c r="H1346" i="94"/>
  <c r="E1346" i="94"/>
  <c r="H1345" i="94"/>
  <c r="E1345" i="94"/>
  <c r="H1344" i="94"/>
  <c r="H1343" i="94"/>
  <c r="H1342" i="94"/>
  <c r="F1342" i="94" s="1"/>
  <c r="G1342" i="94"/>
  <c r="H1341" i="94"/>
  <c r="F1341" i="94"/>
  <c r="G1341" i="94" s="1"/>
  <c r="E1341" i="94"/>
  <c r="H1340" i="94"/>
  <c r="H1339" i="94"/>
  <c r="F1339" i="94" s="1"/>
  <c r="G1339" i="94"/>
  <c r="H1338" i="94"/>
  <c r="F1338" i="94"/>
  <c r="G1338" i="94" s="1"/>
  <c r="H1337" i="94"/>
  <c r="F1337" i="94" s="1"/>
  <c r="G1337" i="94" s="1"/>
  <c r="H1336" i="94"/>
  <c r="F1336" i="94" s="1"/>
  <c r="H1335" i="94"/>
  <c r="E1335" i="94"/>
  <c r="H1334" i="94"/>
  <c r="H1333" i="94"/>
  <c r="F1333" i="94" s="1"/>
  <c r="H1332" i="94"/>
  <c r="F1332" i="94" s="1"/>
  <c r="H1331" i="94"/>
  <c r="F1331" i="94" s="1"/>
  <c r="G1331" i="94" s="1"/>
  <c r="H1330" i="94"/>
  <c r="F1330" i="94" s="1"/>
  <c r="G1330" i="94" s="1"/>
  <c r="H1329" i="94"/>
  <c r="F1329" i="94" s="1"/>
  <c r="G1329" i="94" s="1"/>
  <c r="H1328" i="94"/>
  <c r="F1328" i="94"/>
  <c r="G1328" i="94" s="1"/>
  <c r="H1327" i="94"/>
  <c r="F1327" i="94" s="1"/>
  <c r="H1326" i="94"/>
  <c r="E1326" i="94"/>
  <c r="H1325" i="94"/>
  <c r="E1325" i="94"/>
  <c r="E1324" i="94" s="1"/>
  <c r="E1323" i="94" s="1"/>
  <c r="H1324" i="94"/>
  <c r="H1323" i="94"/>
  <c r="H1322" i="94"/>
  <c r="F1322" i="94" s="1"/>
  <c r="G1322" i="94" s="1"/>
  <c r="H1321" i="94"/>
  <c r="E1321" i="94"/>
  <c r="E1320" i="94" s="1"/>
  <c r="E1319" i="94" s="1"/>
  <c r="E1318" i="94" s="1"/>
  <c r="H1320" i="94"/>
  <c r="H1319" i="94"/>
  <c r="H1318" i="94"/>
  <c r="H1317" i="94"/>
  <c r="F1317" i="94"/>
  <c r="H1316" i="94"/>
  <c r="E1316" i="94"/>
  <c r="H1315" i="94"/>
  <c r="H1314" i="94"/>
  <c r="F1314" i="94" s="1"/>
  <c r="G1314" i="94" s="1"/>
  <c r="H1313" i="94"/>
  <c r="F1313" i="94"/>
  <c r="G1313" i="94" s="1"/>
  <c r="H1312" i="94"/>
  <c r="F1312" i="94" s="1"/>
  <c r="H1311" i="94"/>
  <c r="F1311" i="94" s="1"/>
  <c r="H1310" i="94"/>
  <c r="E1310" i="94"/>
  <c r="H1309" i="94"/>
  <c r="H1308" i="94"/>
  <c r="F1308" i="94" s="1"/>
  <c r="G1308" i="94" s="1"/>
  <c r="H1307" i="94"/>
  <c r="F1307" i="94"/>
  <c r="G1307" i="94" s="1"/>
  <c r="H1306" i="94"/>
  <c r="F1306" i="94" s="1"/>
  <c r="G1306" i="94" s="1"/>
  <c r="H1305" i="94"/>
  <c r="F1305" i="94" s="1"/>
  <c r="H1304" i="94"/>
  <c r="E1304" i="94"/>
  <c r="H1303" i="94"/>
  <c r="H1302" i="94"/>
  <c r="H1301" i="94"/>
  <c r="H1300" i="94"/>
  <c r="F1300" i="94" s="1"/>
  <c r="G1300" i="94" s="1"/>
  <c r="H1299" i="94"/>
  <c r="F1299" i="94"/>
  <c r="G1299" i="94" s="1"/>
  <c r="E1299" i="94"/>
  <c r="E1298" i="94" s="1"/>
  <c r="H1298" i="94"/>
  <c r="H1297" i="94"/>
  <c r="F1297" i="94" s="1"/>
  <c r="H1296" i="94"/>
  <c r="E1296" i="94"/>
  <c r="H1295" i="94"/>
  <c r="E1295" i="94"/>
  <c r="E1294" i="94" s="1"/>
  <c r="H1294" i="94"/>
  <c r="H1293" i="94"/>
  <c r="G1293" i="94"/>
  <c r="F1293" i="94"/>
  <c r="F1292" i="94" s="1"/>
  <c r="H1292" i="94"/>
  <c r="E1292" i="94"/>
  <c r="E1291" i="94" s="1"/>
  <c r="H1291" i="94"/>
  <c r="H1290" i="94"/>
  <c r="H1289" i="94"/>
  <c r="F1289" i="94"/>
  <c r="G1289" i="94" s="1"/>
  <c r="H1288" i="94"/>
  <c r="E1288" i="94"/>
  <c r="H1287" i="94"/>
  <c r="H1286" i="94"/>
  <c r="F1286" i="94"/>
  <c r="G1286" i="94" s="1"/>
  <c r="H1285" i="94"/>
  <c r="F1285" i="94"/>
  <c r="G1285" i="94" s="1"/>
  <c r="H1284" i="94"/>
  <c r="F1284" i="94" s="1"/>
  <c r="G1284" i="94"/>
  <c r="H1283" i="94"/>
  <c r="G1283" i="94"/>
  <c r="F1283" i="94"/>
  <c r="H1282" i="94"/>
  <c r="F1282" i="94" s="1"/>
  <c r="G1282" i="94" s="1"/>
  <c r="H1281" i="94"/>
  <c r="F1281" i="94" s="1"/>
  <c r="G1281" i="94" s="1"/>
  <c r="H1280" i="94"/>
  <c r="F1280" i="94" s="1"/>
  <c r="G1280" i="94" s="1"/>
  <c r="H1279" i="94"/>
  <c r="F1279" i="94" s="1"/>
  <c r="G1279" i="94" s="1"/>
  <c r="H1278" i="94"/>
  <c r="F1278" i="94"/>
  <c r="G1278" i="94" s="1"/>
  <c r="H1277" i="94"/>
  <c r="F1277" i="94"/>
  <c r="G1277" i="94" s="1"/>
  <c r="H1276" i="94"/>
  <c r="F1276" i="94" s="1"/>
  <c r="G1276" i="94"/>
  <c r="H1275" i="94"/>
  <c r="G1275" i="94"/>
  <c r="F1275" i="94"/>
  <c r="H1274" i="94"/>
  <c r="F1274" i="94" s="1"/>
  <c r="G1274" i="94" s="1"/>
  <c r="H1273" i="94"/>
  <c r="F1273" i="94" s="1"/>
  <c r="H1272" i="94"/>
  <c r="E1272" i="94"/>
  <c r="H1271" i="94"/>
  <c r="H1270" i="94"/>
  <c r="F1270" i="94" s="1"/>
  <c r="H1269" i="94"/>
  <c r="F1269" i="94" s="1"/>
  <c r="H1268" i="94"/>
  <c r="F1268" i="94" s="1"/>
  <c r="G1268" i="94" s="1"/>
  <c r="H1267" i="94"/>
  <c r="F1267" i="94" s="1"/>
  <c r="G1267" i="94" s="1"/>
  <c r="H1266" i="94"/>
  <c r="F1266" i="94"/>
  <c r="G1266" i="94" s="1"/>
  <c r="H1265" i="94"/>
  <c r="G1265" i="94"/>
  <c r="F1265" i="94"/>
  <c r="H1264" i="94"/>
  <c r="F1264" i="94" s="1"/>
  <c r="H1263" i="94"/>
  <c r="F1263" i="94" s="1"/>
  <c r="G1263" i="94" s="1"/>
  <c r="H1262" i="94"/>
  <c r="E1262" i="94"/>
  <c r="H1261" i="94"/>
  <c r="H1260" i="94"/>
  <c r="H1259" i="94"/>
  <c r="H1258" i="94"/>
  <c r="F1258" i="94" s="1"/>
  <c r="H1257" i="94"/>
  <c r="E1257" i="94"/>
  <c r="H1256" i="94"/>
  <c r="E1256" i="94"/>
  <c r="H1254" i="94"/>
  <c r="F1254" i="94" s="1"/>
  <c r="H1253" i="94"/>
  <c r="E1253" i="94"/>
  <c r="H1252" i="94"/>
  <c r="E1252" i="94"/>
  <c r="E1251" i="94" s="1"/>
  <c r="H1251" i="94"/>
  <c r="H1250" i="94"/>
  <c r="H1249" i="94"/>
  <c r="F1249" i="94"/>
  <c r="H1248" i="94"/>
  <c r="E1248" i="94"/>
  <c r="H1247" i="94"/>
  <c r="E1247" i="94"/>
  <c r="H1246" i="94"/>
  <c r="H1245" i="94"/>
  <c r="F1245" i="94" s="1"/>
  <c r="H1244" i="94"/>
  <c r="E1244" i="94"/>
  <c r="E1243" i="94" s="1"/>
  <c r="E1242" i="94" s="1"/>
  <c r="E1241" i="94" s="1"/>
  <c r="E1240" i="94" s="1"/>
  <c r="H1243" i="94"/>
  <c r="H1242" i="94"/>
  <c r="H1241" i="94"/>
  <c r="H1240" i="94"/>
  <c r="H1239" i="94"/>
  <c r="F1239" i="94" s="1"/>
  <c r="F2607" i="94" s="1"/>
  <c r="G2607" i="94" s="1"/>
  <c r="G1239" i="94"/>
  <c r="H1238" i="94"/>
  <c r="G1238" i="94"/>
  <c r="F1238" i="94"/>
  <c r="E1238" i="94"/>
  <c r="H1237" i="94"/>
  <c r="G1237" i="94"/>
  <c r="F1237" i="94"/>
  <c r="E1237" i="94"/>
  <c r="H1236" i="94"/>
  <c r="G1236" i="94"/>
  <c r="F1236" i="94"/>
  <c r="E1236" i="94"/>
  <c r="H1235" i="94"/>
  <c r="G1235" i="94"/>
  <c r="F1235" i="94"/>
  <c r="F2608" i="94" s="1"/>
  <c r="G2608" i="94" s="1"/>
  <c r="H1234" i="94"/>
  <c r="E1234" i="94"/>
  <c r="E1233" i="94" s="1"/>
  <c r="E1232" i="94" s="1"/>
  <c r="E1231" i="94" s="1"/>
  <c r="H1233" i="94"/>
  <c r="H1232" i="94"/>
  <c r="H1231" i="94"/>
  <c r="H1230" i="94"/>
  <c r="F1230" i="94"/>
  <c r="H1229" i="94"/>
  <c r="E1229" i="94"/>
  <c r="H1228" i="94"/>
  <c r="E1228" i="94"/>
  <c r="E1227" i="94" s="1"/>
  <c r="H1227" i="94"/>
  <c r="H1226" i="94"/>
  <c r="F1226" i="94" s="1"/>
  <c r="H1225" i="94"/>
  <c r="E1225" i="94"/>
  <c r="E1224" i="94" s="1"/>
  <c r="H1224" i="94"/>
  <c r="H1223" i="94"/>
  <c r="F1223" i="94" s="1"/>
  <c r="G1223" i="94" s="1"/>
  <c r="H1222" i="94"/>
  <c r="F1222" i="94" s="1"/>
  <c r="H1221" i="94"/>
  <c r="E1221" i="94"/>
  <c r="H1220" i="94"/>
  <c r="F1220" i="94"/>
  <c r="G1220" i="94" s="1"/>
  <c r="H1219" i="94"/>
  <c r="F1219" i="94" s="1"/>
  <c r="H1218" i="94"/>
  <c r="E1218" i="94"/>
  <c r="E1217" i="94" s="1"/>
  <c r="H1217" i="94"/>
  <c r="H1216" i="94"/>
  <c r="E1216" i="94"/>
  <c r="H1215" i="94"/>
  <c r="H1214" i="94"/>
  <c r="F1214" i="94" s="1"/>
  <c r="G1214" i="94" s="1"/>
  <c r="H1213" i="94"/>
  <c r="E1213" i="94"/>
  <c r="H1212" i="94"/>
  <c r="E1212" i="94"/>
  <c r="H1211" i="94"/>
  <c r="F1211" i="94" s="1"/>
  <c r="H1210" i="94"/>
  <c r="E1210" i="94"/>
  <c r="E1209" i="94" s="1"/>
  <c r="E1208" i="94" s="1"/>
  <c r="H1209" i="94"/>
  <c r="H1208" i="94"/>
  <c r="H1207" i="94"/>
  <c r="F1207" i="94" s="1"/>
  <c r="H1206" i="94"/>
  <c r="E1206" i="94"/>
  <c r="H1205" i="94"/>
  <c r="E1205" i="94"/>
  <c r="H1204" i="94"/>
  <c r="H1203" i="94"/>
  <c r="F1203" i="94" s="1"/>
  <c r="H1202" i="94"/>
  <c r="E1202" i="94"/>
  <c r="E1201" i="94" s="1"/>
  <c r="E1200" i="94" s="1"/>
  <c r="H1201" i="94"/>
  <c r="H1200" i="94"/>
  <c r="H1199" i="94"/>
  <c r="F1199" i="94"/>
  <c r="G1199" i="94" s="1"/>
  <c r="H1198" i="94"/>
  <c r="E1198" i="94"/>
  <c r="H1197" i="94"/>
  <c r="E1197" i="94"/>
  <c r="E1196" i="94" s="1"/>
  <c r="H1196" i="94"/>
  <c r="H1195" i="94"/>
  <c r="F1195" i="94" s="1"/>
  <c r="H1194" i="94"/>
  <c r="E1194" i="94"/>
  <c r="H1193" i="94"/>
  <c r="E1193" i="94"/>
  <c r="H1192" i="94"/>
  <c r="G1192" i="94"/>
  <c r="H1191" i="94"/>
  <c r="F1191" i="94" s="1"/>
  <c r="H1190" i="94"/>
  <c r="E1190" i="94"/>
  <c r="E1189" i="94" s="1"/>
  <c r="H1189" i="94"/>
  <c r="H1188" i="94"/>
  <c r="H1187" i="94"/>
  <c r="F1187" i="94" s="1"/>
  <c r="H1186" i="94"/>
  <c r="E1186" i="94"/>
  <c r="E1185" i="94" s="1"/>
  <c r="E1181" i="94" s="1"/>
  <c r="H1185" i="94"/>
  <c r="H1184" i="94"/>
  <c r="F1184" i="94" s="1"/>
  <c r="G1184" i="94" s="1"/>
  <c r="H1183" i="94"/>
  <c r="E1183" i="94"/>
  <c r="G1183" i="94" s="1"/>
  <c r="H1182" i="94"/>
  <c r="F1182" i="94"/>
  <c r="G1182" i="94" s="1"/>
  <c r="E1182" i="94"/>
  <c r="H1181" i="94"/>
  <c r="H1180" i="94"/>
  <c r="H1179" i="94"/>
  <c r="F1179" i="94" s="1"/>
  <c r="H1178" i="94"/>
  <c r="F1178" i="94" s="1"/>
  <c r="H1177" i="94"/>
  <c r="E1177" i="94"/>
  <c r="H1176" i="94"/>
  <c r="E1176" i="94"/>
  <c r="E1175" i="94" s="1"/>
  <c r="E1174" i="94" s="1"/>
  <c r="E1173" i="94" s="1"/>
  <c r="H1175" i="94"/>
  <c r="H1174" i="94"/>
  <c r="H1173" i="94"/>
  <c r="H1172" i="94"/>
  <c r="F1172" i="94" s="1"/>
  <c r="G1172" i="94" s="1"/>
  <c r="H1171" i="94"/>
  <c r="F1171" i="94" s="1"/>
  <c r="G1171" i="94" s="1"/>
  <c r="H1170" i="94"/>
  <c r="F1170" i="94" s="1"/>
  <c r="G1170" i="94" s="1"/>
  <c r="H1169" i="94"/>
  <c r="F1169" i="94" s="1"/>
  <c r="G1169" i="94" s="1"/>
  <c r="H1168" i="94"/>
  <c r="F1168" i="94" s="1"/>
  <c r="G1168" i="94" s="1"/>
  <c r="E1168" i="94"/>
  <c r="H1167" i="94"/>
  <c r="F1167" i="94"/>
  <c r="G1167" i="94" s="1"/>
  <c r="H1166" i="94"/>
  <c r="F1166" i="94" s="1"/>
  <c r="G1166" i="94" s="1"/>
  <c r="H1165" i="94"/>
  <c r="F1165" i="94" s="1"/>
  <c r="G1165" i="94" s="1"/>
  <c r="H1164" i="94"/>
  <c r="G1164" i="94"/>
  <c r="F1164" i="94"/>
  <c r="H1163" i="94"/>
  <c r="F1163" i="94" s="1"/>
  <c r="G1163" i="94" s="1"/>
  <c r="H1162" i="94"/>
  <c r="F1162" i="94" s="1"/>
  <c r="G1162" i="94" s="1"/>
  <c r="E1162" i="94"/>
  <c r="H1161" i="94"/>
  <c r="F1161" i="94" s="1"/>
  <c r="G1161" i="94" s="1"/>
  <c r="E1161" i="94"/>
  <c r="H1160" i="94"/>
  <c r="F1160" i="94" s="1"/>
  <c r="H1159" i="94"/>
  <c r="F1159" i="94"/>
  <c r="G1159" i="94" s="1"/>
  <c r="H1158" i="94"/>
  <c r="H1157" i="94"/>
  <c r="H1156" i="94"/>
  <c r="G1156" i="94"/>
  <c r="F1156" i="94"/>
  <c r="F1155" i="94" s="1"/>
  <c r="H1155" i="94"/>
  <c r="E1155" i="94"/>
  <c r="H1154" i="94"/>
  <c r="H1153" i="94"/>
  <c r="F1153" i="94"/>
  <c r="G1153" i="94" s="1"/>
  <c r="H1152" i="94"/>
  <c r="F1152" i="94"/>
  <c r="G1152" i="94" s="1"/>
  <c r="H1151" i="94"/>
  <c r="F1151" i="94" s="1"/>
  <c r="G1151" i="94" s="1"/>
  <c r="H1150" i="94"/>
  <c r="F1150" i="94" s="1"/>
  <c r="H1149" i="94"/>
  <c r="F1149" i="94"/>
  <c r="G1149" i="94" s="1"/>
  <c r="E1149" i="94"/>
  <c r="H1148" i="94"/>
  <c r="F1148" i="94" s="1"/>
  <c r="G1148" i="94" s="1"/>
  <c r="H1147" i="94"/>
  <c r="F1147" i="94" s="1"/>
  <c r="E1147" i="94"/>
  <c r="H1146" i="94"/>
  <c r="F1146" i="94" s="1"/>
  <c r="G1146" i="94" s="1"/>
  <c r="H1145" i="94"/>
  <c r="F1145" i="94" s="1"/>
  <c r="G1145" i="94" s="1"/>
  <c r="H1144" i="94"/>
  <c r="F1144" i="94"/>
  <c r="G1144" i="94" s="1"/>
  <c r="H1143" i="94"/>
  <c r="F1143" i="94"/>
  <c r="G1143" i="94" s="1"/>
  <c r="H1142" i="94"/>
  <c r="F1142" i="94" s="1"/>
  <c r="G1142" i="94" s="1"/>
  <c r="H1141" i="94"/>
  <c r="F1141" i="94" s="1"/>
  <c r="G1141" i="94" s="1"/>
  <c r="E1141" i="94"/>
  <c r="H1140" i="94"/>
  <c r="F1140" i="94" s="1"/>
  <c r="G1140" i="94" s="1"/>
  <c r="E1140" i="94"/>
  <c r="H1139" i="94"/>
  <c r="F1139" i="94" s="1"/>
  <c r="H1138" i="94"/>
  <c r="F1138" i="94"/>
  <c r="G1138" i="94" s="1"/>
  <c r="E1138" i="94"/>
  <c r="H1137" i="94"/>
  <c r="H1136" i="94"/>
  <c r="H1135" i="94"/>
  <c r="H1134" i="94"/>
  <c r="G1134" i="94"/>
  <c r="F1134" i="94"/>
  <c r="E1134" i="94"/>
  <c r="H1133" i="94"/>
  <c r="G1133" i="94"/>
  <c r="F1133" i="94"/>
  <c r="E1133" i="94"/>
  <c r="H1132" i="94"/>
  <c r="G1132" i="94"/>
  <c r="F1132" i="94"/>
  <c r="E1132" i="94"/>
  <c r="H1131" i="94"/>
  <c r="G1131" i="94"/>
  <c r="F1131" i="94"/>
  <c r="E1131" i="94"/>
  <c r="H1130" i="94"/>
  <c r="G1130" i="94"/>
  <c r="F1130" i="94"/>
  <c r="H1129" i="94"/>
  <c r="F1129" i="94" s="1"/>
  <c r="G1129" i="94" s="1"/>
  <c r="E1129" i="94"/>
  <c r="H1128" i="94"/>
  <c r="F1128" i="94"/>
  <c r="G1128" i="94" s="1"/>
  <c r="H1127" i="94"/>
  <c r="F1127" i="94" s="1"/>
  <c r="E1127" i="94"/>
  <c r="H1126" i="94"/>
  <c r="F1126" i="94" s="1"/>
  <c r="G1126" i="94" s="1"/>
  <c r="H1125" i="94"/>
  <c r="F1125" i="94" s="1"/>
  <c r="G1125" i="94" s="1"/>
  <c r="H1124" i="94"/>
  <c r="G1124" i="94"/>
  <c r="F1124" i="94"/>
  <c r="H1123" i="94"/>
  <c r="F1123" i="94" s="1"/>
  <c r="G1123" i="94" s="1"/>
  <c r="E1123" i="94"/>
  <c r="H1122" i="94"/>
  <c r="F1122" i="94"/>
  <c r="G1122" i="94" s="1"/>
  <c r="E1122" i="94"/>
  <c r="H1121" i="94"/>
  <c r="F1121" i="94" s="1"/>
  <c r="G1121" i="94" s="1"/>
  <c r="E1121" i="94"/>
  <c r="H1120" i="94"/>
  <c r="F1120" i="94"/>
  <c r="G1120" i="94" s="1"/>
  <c r="H1119" i="94"/>
  <c r="F1119" i="94" s="1"/>
  <c r="G1119" i="94" s="1"/>
  <c r="H1118" i="94"/>
  <c r="F1118" i="94" s="1"/>
  <c r="G1118" i="94" s="1"/>
  <c r="H1117" i="94"/>
  <c r="F1117" i="94"/>
  <c r="H1116" i="94"/>
  <c r="F1116" i="94"/>
  <c r="H1115" i="94"/>
  <c r="G1115" i="94"/>
  <c r="F1115" i="94"/>
  <c r="H1114" i="94"/>
  <c r="F1114" i="94" s="1"/>
  <c r="G1114" i="94" s="1"/>
  <c r="H1113" i="94"/>
  <c r="F1113" i="94" s="1"/>
  <c r="E1113" i="94"/>
  <c r="H1112" i="94"/>
  <c r="F1112" i="94" s="1"/>
  <c r="G1112" i="94" s="1"/>
  <c r="H1111" i="94"/>
  <c r="F1111" i="94" s="1"/>
  <c r="E1111" i="94"/>
  <c r="H1110" i="94"/>
  <c r="F1110" i="94" s="1"/>
  <c r="G1110" i="94" s="1"/>
  <c r="H1109" i="94"/>
  <c r="F1109" i="94"/>
  <c r="G1109" i="94" s="1"/>
  <c r="E1109" i="94"/>
  <c r="H1108" i="94"/>
  <c r="F1108" i="94"/>
  <c r="G1108" i="94" s="1"/>
  <c r="E1108" i="94"/>
  <c r="H1107" i="94"/>
  <c r="F1107" i="94"/>
  <c r="G1107" i="94" s="1"/>
  <c r="H1106" i="94"/>
  <c r="F1106" i="94"/>
  <c r="G1106" i="94" s="1"/>
  <c r="H1105" i="94"/>
  <c r="F1105" i="94" s="1"/>
  <c r="G1105" i="94" s="1"/>
  <c r="H1104" i="94"/>
  <c r="F1104" i="94" s="1"/>
  <c r="G1104" i="94" s="1"/>
  <c r="H1103" i="94"/>
  <c r="F1103" i="94" s="1"/>
  <c r="G1103" i="94" s="1"/>
  <c r="H1102" i="94"/>
  <c r="F1102" i="94" s="1"/>
  <c r="G1102" i="94" s="1"/>
  <c r="E1102" i="94"/>
  <c r="H1101" i="94"/>
  <c r="F1101" i="94"/>
  <c r="G1101" i="94" s="1"/>
  <c r="H1100" i="94"/>
  <c r="F1100" i="94" s="1"/>
  <c r="G1100" i="94" s="1"/>
  <c r="H1099" i="94"/>
  <c r="F1099" i="94" s="1"/>
  <c r="G1099" i="94" s="1"/>
  <c r="H1098" i="94"/>
  <c r="G1098" i="94"/>
  <c r="F1098" i="94"/>
  <c r="E1098" i="94"/>
  <c r="H1097" i="94"/>
  <c r="G1097" i="94"/>
  <c r="F1097" i="94"/>
  <c r="E1097" i="94"/>
  <c r="H1096" i="94"/>
  <c r="G1096" i="94"/>
  <c r="F1096" i="94"/>
  <c r="H1095" i="94"/>
  <c r="F1095" i="94" s="1"/>
  <c r="G1095" i="94" s="1"/>
  <c r="H1094" i="94"/>
  <c r="F1094" i="94" s="1"/>
  <c r="G1094" i="94" s="1"/>
  <c r="H1093" i="94"/>
  <c r="F1093" i="94" s="1"/>
  <c r="G1093" i="94" s="1"/>
  <c r="H1092" i="94"/>
  <c r="F1092" i="94"/>
  <c r="G1092" i="94" s="1"/>
  <c r="H1091" i="94"/>
  <c r="F1091" i="94"/>
  <c r="G1091" i="94" s="1"/>
  <c r="E1091" i="94"/>
  <c r="H1090" i="94"/>
  <c r="F1090" i="94" s="1"/>
  <c r="G1090" i="94" s="1"/>
  <c r="E1090" i="94"/>
  <c r="H1089" i="94"/>
  <c r="F1089" i="94"/>
  <c r="G1089" i="94" s="1"/>
  <c r="H1088" i="94"/>
  <c r="F1088" i="94" s="1"/>
  <c r="G1088" i="94" s="1"/>
  <c r="E1088" i="94"/>
  <c r="H1087" i="94"/>
  <c r="F1087" i="94" s="1"/>
  <c r="E1087" i="94"/>
  <c r="H1086" i="94"/>
  <c r="F1086" i="94" s="1"/>
  <c r="G1086" i="94" s="1"/>
  <c r="H1085" i="94"/>
  <c r="F1085" i="94" s="1"/>
  <c r="G1085" i="94" s="1"/>
  <c r="E1085" i="94"/>
  <c r="H1084" i="94"/>
  <c r="F1084" i="94" s="1"/>
  <c r="G1084" i="94" s="1"/>
  <c r="E1084" i="94"/>
  <c r="H1083" i="94"/>
  <c r="F1083" i="94" s="1"/>
  <c r="G1083" i="94" s="1"/>
  <c r="E1083" i="94"/>
  <c r="H1082" i="94"/>
  <c r="F1082" i="94" s="1"/>
  <c r="G1082" i="94" s="1"/>
  <c r="E1082" i="94"/>
  <c r="H1081" i="94"/>
  <c r="F1081" i="94" s="1"/>
  <c r="G1081" i="94" s="1"/>
  <c r="H1080" i="94"/>
  <c r="G1080" i="94"/>
  <c r="F1080" i="94"/>
  <c r="F1079" i="94"/>
  <c r="E1079" i="94"/>
  <c r="F1078" i="94"/>
  <c r="G1078" i="94" s="1"/>
  <c r="E1078" i="94"/>
  <c r="H1077" i="94"/>
  <c r="F1077" i="94" s="1"/>
  <c r="G1077" i="94" s="1"/>
  <c r="H1076" i="94"/>
  <c r="G1076" i="94"/>
  <c r="F1076" i="94"/>
  <c r="H1075" i="94"/>
  <c r="F1075" i="94" s="1"/>
  <c r="G1075" i="94" s="1"/>
  <c r="H1074" i="94"/>
  <c r="F1074" i="94" s="1"/>
  <c r="G1074" i="94" s="1"/>
  <c r="H1073" i="94"/>
  <c r="F1073" i="94" s="1"/>
  <c r="H1072" i="94"/>
  <c r="H1071" i="94"/>
  <c r="H1070" i="94"/>
  <c r="F1070" i="94" s="1"/>
  <c r="H1069" i="94"/>
  <c r="E1069" i="94"/>
  <c r="H1068" i="94"/>
  <c r="H1067" i="94"/>
  <c r="F1067" i="94" s="1"/>
  <c r="G1067" i="94" s="1"/>
  <c r="H1066" i="94"/>
  <c r="F1066" i="94" s="1"/>
  <c r="H1065" i="94"/>
  <c r="E1065" i="94"/>
  <c r="H1064" i="94"/>
  <c r="H1063" i="94"/>
  <c r="F1063" i="94" s="1"/>
  <c r="H1062" i="94"/>
  <c r="F1062" i="94" s="1"/>
  <c r="E1062" i="94"/>
  <c r="H1061" i="94"/>
  <c r="F1061" i="94" s="1"/>
  <c r="E1061" i="94"/>
  <c r="H1060" i="94"/>
  <c r="F1060" i="94" s="1"/>
  <c r="E1060" i="94"/>
  <c r="H1059" i="94"/>
  <c r="F1059" i="94" s="1"/>
  <c r="E1059" i="94"/>
  <c r="H1058" i="94"/>
  <c r="F1058" i="94" s="1"/>
  <c r="G1058" i="94" s="1"/>
  <c r="H1057" i="94"/>
  <c r="F1057" i="94" s="1"/>
  <c r="E1057" i="94"/>
  <c r="H1056" i="94"/>
  <c r="F1056" i="94" s="1"/>
  <c r="E1056" i="94"/>
  <c r="H1055" i="94"/>
  <c r="F1055" i="94" s="1"/>
  <c r="H1054" i="94"/>
  <c r="F1054" i="94" s="1"/>
  <c r="G1054" i="94" s="1"/>
  <c r="E1054" i="94"/>
  <c r="H1053" i="94"/>
  <c r="F1053" i="94" s="1"/>
  <c r="H1052" i="94"/>
  <c r="F1052" i="94" s="1"/>
  <c r="E1052" i="94"/>
  <c r="H1051" i="94"/>
  <c r="H1050" i="94"/>
  <c r="H1049" i="94"/>
  <c r="F1049" i="94" s="1"/>
  <c r="H1048" i="94"/>
  <c r="F1048" i="94"/>
  <c r="G1048" i="94" s="1"/>
  <c r="H1047" i="94"/>
  <c r="F1047" i="94" s="1"/>
  <c r="H1046" i="94"/>
  <c r="F1046" i="94" s="1"/>
  <c r="H1045" i="94"/>
  <c r="F1045" i="94" s="1"/>
  <c r="H1044" i="94"/>
  <c r="F1044" i="94" s="1"/>
  <c r="H1043" i="94"/>
  <c r="E1043" i="94"/>
  <c r="H1042" i="94"/>
  <c r="H1041" i="94"/>
  <c r="H1040" i="94"/>
  <c r="H1039" i="94"/>
  <c r="F1039" i="94" s="1"/>
  <c r="H1038" i="94"/>
  <c r="E1038" i="94"/>
  <c r="H1037" i="94"/>
  <c r="H1036" i="94"/>
  <c r="F1036" i="94"/>
  <c r="G1036" i="94" s="1"/>
  <c r="H1035" i="94"/>
  <c r="F1035" i="94" s="1"/>
  <c r="G1035" i="94" s="1"/>
  <c r="H1034" i="94"/>
  <c r="F1034" i="94" s="1"/>
  <c r="G1034" i="94" s="1"/>
  <c r="H1033" i="94"/>
  <c r="G1033" i="94"/>
  <c r="F1033" i="94"/>
  <c r="H1032" i="94"/>
  <c r="F1032" i="94" s="1"/>
  <c r="G1032" i="94" s="1"/>
  <c r="H1031" i="94"/>
  <c r="F1031" i="94" s="1"/>
  <c r="H1030" i="94"/>
  <c r="E1030" i="94"/>
  <c r="H1029" i="94"/>
  <c r="H1028" i="94"/>
  <c r="F1028" i="94" s="1"/>
  <c r="G1028" i="94" s="1"/>
  <c r="H1027" i="94"/>
  <c r="F1027" i="94" s="1"/>
  <c r="G1027" i="94" s="1"/>
  <c r="H1026" i="94"/>
  <c r="F1026" i="94"/>
  <c r="G1026" i="94" s="1"/>
  <c r="H1025" i="94"/>
  <c r="F1025" i="94"/>
  <c r="H1024" i="94"/>
  <c r="E1024" i="94"/>
  <c r="E1023" i="94" s="1"/>
  <c r="E1022" i="94" s="1"/>
  <c r="E1021" i="94" s="1"/>
  <c r="H1023" i="94"/>
  <c r="H1022" i="94"/>
  <c r="H1021" i="94"/>
  <c r="H1020" i="94"/>
  <c r="F1020" i="94" s="1"/>
  <c r="H1019" i="94"/>
  <c r="E1019" i="94"/>
  <c r="H1018" i="94"/>
  <c r="E1018" i="94"/>
  <c r="H1017" i="94"/>
  <c r="H1016" i="94"/>
  <c r="F1016" i="94" s="1"/>
  <c r="G1016" i="94" s="1"/>
  <c r="H1015" i="94"/>
  <c r="F1015" i="94" s="1"/>
  <c r="G1015" i="94" s="1"/>
  <c r="H1014" i="94"/>
  <c r="F1014" i="94" s="1"/>
  <c r="G1014" i="94" s="1"/>
  <c r="H1013" i="94"/>
  <c r="F1013" i="94"/>
  <c r="H1012" i="94"/>
  <c r="E1012" i="94"/>
  <c r="E1008" i="94" s="1"/>
  <c r="E1007" i="94" s="1"/>
  <c r="H1011" i="94"/>
  <c r="H1010" i="94"/>
  <c r="F1010" i="94" s="1"/>
  <c r="H1009" i="94"/>
  <c r="E1009" i="94"/>
  <c r="H1008" i="94"/>
  <c r="H1007" i="94"/>
  <c r="H1006" i="94"/>
  <c r="H1005" i="94"/>
  <c r="F1005" i="94" s="1"/>
  <c r="G1005" i="94" s="1"/>
  <c r="H1004" i="94"/>
  <c r="F1004" i="94" s="1"/>
  <c r="G1004" i="94" s="1"/>
  <c r="H1003" i="94"/>
  <c r="F1003" i="94" s="1"/>
  <c r="G1003" i="94" s="1"/>
  <c r="H1002" i="94"/>
  <c r="F1002" i="94" s="1"/>
  <c r="H1001" i="94"/>
  <c r="E1001" i="94"/>
  <c r="H1000" i="94"/>
  <c r="H999" i="94"/>
  <c r="F999" i="94"/>
  <c r="G999" i="94" s="1"/>
  <c r="H998" i="94"/>
  <c r="F998" i="94" s="1"/>
  <c r="G998" i="94" s="1"/>
  <c r="H997" i="94"/>
  <c r="F997" i="94" s="1"/>
  <c r="G997" i="94" s="1"/>
  <c r="H996" i="94"/>
  <c r="F996" i="94" s="1"/>
  <c r="G996" i="94" s="1"/>
  <c r="H995" i="94"/>
  <c r="F995" i="94" s="1"/>
  <c r="H994" i="94"/>
  <c r="E994" i="94"/>
  <c r="E993" i="94" s="1"/>
  <c r="H993" i="94"/>
  <c r="H992" i="94"/>
  <c r="H991" i="94"/>
  <c r="F991" i="94" s="1"/>
  <c r="G991" i="94" s="1"/>
  <c r="H990" i="94"/>
  <c r="F990" i="94" s="1"/>
  <c r="G990" i="94" s="1"/>
  <c r="H989" i="94"/>
  <c r="F989" i="94" s="1"/>
  <c r="G989" i="94" s="1"/>
  <c r="H988" i="94"/>
  <c r="F988" i="94"/>
  <c r="G988" i="94" s="1"/>
  <c r="H987" i="94"/>
  <c r="F987" i="94"/>
  <c r="G987" i="94" s="1"/>
  <c r="H986" i="94"/>
  <c r="F986" i="94" s="1"/>
  <c r="G986" i="94" s="1"/>
  <c r="H985" i="94"/>
  <c r="F985" i="94" s="1"/>
  <c r="G985" i="94" s="1"/>
  <c r="H984" i="94"/>
  <c r="F984" i="94" s="1"/>
  <c r="G984" i="94" s="1"/>
  <c r="H983" i="94"/>
  <c r="F983" i="94" s="1"/>
  <c r="G983" i="94" s="1"/>
  <c r="H982" i="94"/>
  <c r="F982" i="94" s="1"/>
  <c r="G982" i="94" s="1"/>
  <c r="H981" i="94"/>
  <c r="F981" i="94" s="1"/>
  <c r="G981" i="94" s="1"/>
  <c r="H980" i="94"/>
  <c r="F980" i="94" s="1"/>
  <c r="G980" i="94" s="1"/>
  <c r="H979" i="94"/>
  <c r="F979" i="94"/>
  <c r="G979" i="94" s="1"/>
  <c r="H978" i="94"/>
  <c r="F978" i="94" s="1"/>
  <c r="G978" i="94" s="1"/>
  <c r="H977" i="94"/>
  <c r="F977" i="94" s="1"/>
  <c r="G977" i="94" s="1"/>
  <c r="H976" i="94"/>
  <c r="G976" i="94"/>
  <c r="F976" i="94"/>
  <c r="H975" i="94"/>
  <c r="F975" i="94" s="1"/>
  <c r="G975" i="94" s="1"/>
  <c r="H974" i="94"/>
  <c r="F974" i="94" s="1"/>
  <c r="G974" i="94" s="1"/>
  <c r="H973" i="94"/>
  <c r="F973" i="94" s="1"/>
  <c r="G973" i="94" s="1"/>
  <c r="H972" i="94"/>
  <c r="F972" i="94"/>
  <c r="G972" i="94" s="1"/>
  <c r="H971" i="94"/>
  <c r="F971" i="94"/>
  <c r="G971" i="94" s="1"/>
  <c r="H970" i="94"/>
  <c r="F970" i="94" s="1"/>
  <c r="G970" i="94" s="1"/>
  <c r="H969" i="94"/>
  <c r="F969" i="94" s="1"/>
  <c r="G969" i="94" s="1"/>
  <c r="H968" i="94"/>
  <c r="F968" i="94" s="1"/>
  <c r="G968" i="94" s="1"/>
  <c r="H967" i="94"/>
  <c r="F967" i="94" s="1"/>
  <c r="G967" i="94" s="1"/>
  <c r="H966" i="94"/>
  <c r="F966" i="94" s="1"/>
  <c r="G966" i="94" s="1"/>
  <c r="H965" i="94"/>
  <c r="F965" i="94" s="1"/>
  <c r="G965" i="94" s="1"/>
  <c r="H964" i="94"/>
  <c r="F964" i="94" s="1"/>
  <c r="G964" i="94" s="1"/>
  <c r="H963" i="94"/>
  <c r="F963" i="94"/>
  <c r="G963" i="94" s="1"/>
  <c r="H962" i="94"/>
  <c r="F962" i="94" s="1"/>
  <c r="G962" i="94" s="1"/>
  <c r="H961" i="94"/>
  <c r="F961" i="94" s="1"/>
  <c r="G961" i="94" s="1"/>
  <c r="H960" i="94"/>
  <c r="G960" i="94"/>
  <c r="F960" i="94"/>
  <c r="H959" i="94"/>
  <c r="F959" i="94" s="1"/>
  <c r="G959" i="94" s="1"/>
  <c r="H958" i="94"/>
  <c r="F958" i="94" s="1"/>
  <c r="G958" i="94" s="1"/>
  <c r="H957" i="94"/>
  <c r="F957" i="94" s="1"/>
  <c r="H956" i="94"/>
  <c r="E956" i="94"/>
  <c r="H955" i="94"/>
  <c r="H954" i="94"/>
  <c r="F954" i="94" s="1"/>
  <c r="G954" i="94" s="1"/>
  <c r="H953" i="94"/>
  <c r="F953" i="94"/>
  <c r="G953" i="94" s="1"/>
  <c r="H952" i="94"/>
  <c r="E952" i="94"/>
  <c r="H951" i="94"/>
  <c r="H950" i="94"/>
  <c r="F950" i="94" s="1"/>
  <c r="G950" i="94" s="1"/>
  <c r="H949" i="94"/>
  <c r="F949" i="94"/>
  <c r="G949" i="94" s="1"/>
  <c r="H948" i="94"/>
  <c r="F948" i="94" s="1"/>
  <c r="G948" i="94" s="1"/>
  <c r="H947" i="94"/>
  <c r="E947" i="94"/>
  <c r="H946" i="94"/>
  <c r="F946" i="94" s="1"/>
  <c r="G946" i="94" s="1"/>
  <c r="E946" i="94"/>
  <c r="H945" i="94"/>
  <c r="F945" i="94" s="1"/>
  <c r="H944" i="94"/>
  <c r="G944" i="94"/>
  <c r="F944" i="94"/>
  <c r="E944" i="94"/>
  <c r="H943" i="94"/>
  <c r="G943" i="94"/>
  <c r="F943" i="94"/>
  <c r="E943" i="94"/>
  <c r="H942" i="94"/>
  <c r="E942" i="94"/>
  <c r="H941" i="94"/>
  <c r="H940" i="94"/>
  <c r="F940" i="94" s="1"/>
  <c r="H939" i="94"/>
  <c r="F939" i="94" s="1"/>
  <c r="H938" i="94"/>
  <c r="F938" i="94" s="1"/>
  <c r="E938" i="94"/>
  <c r="E937" i="94" s="1"/>
  <c r="H937" i="94"/>
  <c r="H936" i="94"/>
  <c r="H935" i="94"/>
  <c r="H934" i="94"/>
  <c r="H933" i="94"/>
  <c r="F933" i="94" s="1"/>
  <c r="G933" i="94" s="1"/>
  <c r="H932" i="94"/>
  <c r="F932" i="94" s="1"/>
  <c r="G932" i="94" s="1"/>
  <c r="H931" i="94"/>
  <c r="E931" i="94"/>
  <c r="E925" i="94" s="1"/>
  <c r="E924" i="94" s="1"/>
  <c r="E923" i="94" s="1"/>
  <c r="H930" i="94"/>
  <c r="H929" i="94"/>
  <c r="F929" i="94"/>
  <c r="G929" i="94" s="1"/>
  <c r="H928" i="94"/>
  <c r="F928" i="94"/>
  <c r="G928" i="94" s="1"/>
  <c r="H927" i="94"/>
  <c r="F927" i="94" s="1"/>
  <c r="H926" i="94"/>
  <c r="E926" i="94"/>
  <c r="H925" i="94"/>
  <c r="H924" i="94"/>
  <c r="H923" i="94"/>
  <c r="H922" i="94"/>
  <c r="F922" i="94" s="1"/>
  <c r="H921" i="94"/>
  <c r="E921" i="94"/>
  <c r="H920" i="94"/>
  <c r="E920" i="94"/>
  <c r="E919" i="94" s="1"/>
  <c r="H919" i="94"/>
  <c r="H918" i="94"/>
  <c r="F918" i="94" s="1"/>
  <c r="G918" i="94" s="1"/>
  <c r="H917" i="94"/>
  <c r="F917" i="94"/>
  <c r="G917" i="94" s="1"/>
  <c r="H916" i="94"/>
  <c r="F916" i="94" s="1"/>
  <c r="G916" i="94" s="1"/>
  <c r="H915" i="94"/>
  <c r="F915" i="94" s="1"/>
  <c r="G915" i="94" s="1"/>
  <c r="H914" i="94"/>
  <c r="G914" i="94"/>
  <c r="F914" i="94"/>
  <c r="H913" i="94"/>
  <c r="F913" i="94" s="1"/>
  <c r="H912" i="94"/>
  <c r="E912" i="94"/>
  <c r="H911" i="94"/>
  <c r="H910" i="94"/>
  <c r="F910" i="94"/>
  <c r="G910" i="94" s="1"/>
  <c r="H909" i="94"/>
  <c r="F909" i="94" s="1"/>
  <c r="G909" i="94" s="1"/>
  <c r="H908" i="94"/>
  <c r="F908" i="94" s="1"/>
  <c r="G908" i="94" s="1"/>
  <c r="H907" i="94"/>
  <c r="G907" i="94"/>
  <c r="F907" i="94"/>
  <c r="H906" i="94"/>
  <c r="F906" i="94" s="1"/>
  <c r="G906" i="94" s="1"/>
  <c r="H905" i="94"/>
  <c r="F905" i="94" s="1"/>
  <c r="G905" i="94" s="1"/>
  <c r="H904" i="94"/>
  <c r="F904" i="94" s="1"/>
  <c r="E904" i="94"/>
  <c r="H903" i="94"/>
  <c r="E903" i="94"/>
  <c r="E902" i="94" s="1"/>
  <c r="H902" i="94"/>
  <c r="H901" i="94"/>
  <c r="H900" i="94"/>
  <c r="F900" i="94" s="1"/>
  <c r="G900" i="94" s="1"/>
  <c r="H899" i="94"/>
  <c r="F899" i="94" s="1"/>
  <c r="G899" i="94" s="1"/>
  <c r="H898" i="94"/>
  <c r="F898" i="94"/>
  <c r="G898" i="94" s="1"/>
  <c r="H897" i="94"/>
  <c r="F897" i="94" s="1"/>
  <c r="G897" i="94" s="1"/>
  <c r="H896" i="94"/>
  <c r="F896" i="94" s="1"/>
  <c r="G896" i="94" s="1"/>
  <c r="H895" i="94"/>
  <c r="F895" i="94" s="1"/>
  <c r="G895" i="94" s="1"/>
  <c r="H894" i="94"/>
  <c r="F894" i="94" s="1"/>
  <c r="G894" i="94" s="1"/>
  <c r="H893" i="94"/>
  <c r="F893" i="94" s="1"/>
  <c r="G893" i="94" s="1"/>
  <c r="H892" i="94"/>
  <c r="F892" i="94" s="1"/>
  <c r="G892" i="94" s="1"/>
  <c r="H891" i="94"/>
  <c r="F891" i="94" s="1"/>
  <c r="E891" i="94"/>
  <c r="H890" i="94"/>
  <c r="F890" i="94" s="1"/>
  <c r="G890" i="94" s="1"/>
  <c r="E890" i="94"/>
  <c r="H889" i="94"/>
  <c r="F889" i="94" s="1"/>
  <c r="E889" i="94"/>
  <c r="H888" i="94"/>
  <c r="F888" i="94" s="1"/>
  <c r="G888" i="94" s="1"/>
  <c r="E888" i="94"/>
  <c r="H887" i="94"/>
  <c r="F887" i="94" s="1"/>
  <c r="G887" i="94" s="1"/>
  <c r="H886" i="94"/>
  <c r="F886" i="94" s="1"/>
  <c r="G886" i="94" s="1"/>
  <c r="H885" i="94"/>
  <c r="F885" i="94"/>
  <c r="G885" i="94" s="1"/>
  <c r="E885" i="94"/>
  <c r="H884" i="94"/>
  <c r="F884" i="94" s="1"/>
  <c r="G884" i="94" s="1"/>
  <c r="E884" i="94"/>
  <c r="H883" i="94"/>
  <c r="F883" i="94" s="1"/>
  <c r="G883" i="94" s="1"/>
  <c r="H882" i="94"/>
  <c r="F882" i="94" s="1"/>
  <c r="G882" i="94" s="1"/>
  <c r="H881" i="94"/>
  <c r="F881" i="94" s="1"/>
  <c r="G881" i="94" s="1"/>
  <c r="H880" i="94"/>
  <c r="F880" i="94" s="1"/>
  <c r="G880" i="94" s="1"/>
  <c r="E880" i="94"/>
  <c r="H879" i="94"/>
  <c r="F879" i="94" s="1"/>
  <c r="G879" i="94" s="1"/>
  <c r="E879" i="94"/>
  <c r="E858" i="94" s="1"/>
  <c r="H878" i="94"/>
  <c r="F878" i="94" s="1"/>
  <c r="G878" i="94" s="1"/>
  <c r="H877" i="94"/>
  <c r="F877" i="94" s="1"/>
  <c r="G877" i="94" s="1"/>
  <c r="H876" i="94"/>
  <c r="F876" i="94" s="1"/>
  <c r="G876" i="94" s="1"/>
  <c r="H875" i="94"/>
  <c r="F875" i="94" s="1"/>
  <c r="G875" i="94" s="1"/>
  <c r="H874" i="94"/>
  <c r="F874" i="94" s="1"/>
  <c r="G874" i="94" s="1"/>
  <c r="E874" i="94"/>
  <c r="H873" i="94"/>
  <c r="F873" i="94" s="1"/>
  <c r="G873" i="94" s="1"/>
  <c r="E873" i="94"/>
  <c r="H872" i="94"/>
  <c r="F872" i="94" s="1"/>
  <c r="G872" i="94" s="1"/>
  <c r="E872" i="94"/>
  <c r="H871" i="94"/>
  <c r="F871" i="94" s="1"/>
  <c r="G871" i="94" s="1"/>
  <c r="E871" i="94"/>
  <c r="H870" i="94"/>
  <c r="F870" i="94" s="1"/>
  <c r="G870" i="94" s="1"/>
  <c r="H869" i="94"/>
  <c r="F869" i="94"/>
  <c r="G869" i="94" s="1"/>
  <c r="H868" i="94"/>
  <c r="F868" i="94" s="1"/>
  <c r="G868" i="94" s="1"/>
  <c r="H867" i="94"/>
  <c r="F867" i="94" s="1"/>
  <c r="G867" i="94" s="1"/>
  <c r="H866" i="94"/>
  <c r="G866" i="94"/>
  <c r="F866" i="94"/>
  <c r="H865" i="94"/>
  <c r="F865" i="94" s="1"/>
  <c r="G865" i="94" s="1"/>
  <c r="H864" i="94"/>
  <c r="F864" i="94" s="1"/>
  <c r="G864" i="94" s="1"/>
  <c r="H863" i="94"/>
  <c r="F863" i="94" s="1"/>
  <c r="G863" i="94" s="1"/>
  <c r="H862" i="94"/>
  <c r="F862" i="94"/>
  <c r="G862" i="94" s="1"/>
  <c r="H861" i="94"/>
  <c r="F861" i="94" s="1"/>
  <c r="G861" i="94" s="1"/>
  <c r="H860" i="94"/>
  <c r="F860" i="94" s="1"/>
  <c r="G860" i="94" s="1"/>
  <c r="H859" i="94"/>
  <c r="F859" i="94" s="1"/>
  <c r="H858" i="94"/>
  <c r="H857" i="94"/>
  <c r="H856" i="94"/>
  <c r="F856" i="94" s="1"/>
  <c r="H855" i="94"/>
  <c r="E855" i="94"/>
  <c r="H854" i="94"/>
  <c r="H853" i="94"/>
  <c r="F853" i="94" s="1"/>
  <c r="G853" i="94" s="1"/>
  <c r="H852" i="94"/>
  <c r="F852" i="94" s="1"/>
  <c r="G852" i="94" s="1"/>
  <c r="H851" i="94"/>
  <c r="F851" i="94" s="1"/>
  <c r="G851" i="94" s="1"/>
  <c r="H850" i="94"/>
  <c r="F850" i="94" s="1"/>
  <c r="G850" i="94" s="1"/>
  <c r="H849" i="94"/>
  <c r="F849" i="94" s="1"/>
  <c r="G849" i="94" s="1"/>
  <c r="H848" i="94"/>
  <c r="F848" i="94" s="1"/>
  <c r="G848" i="94" s="1"/>
  <c r="H847" i="94"/>
  <c r="F847" i="94" s="1"/>
  <c r="H846" i="94"/>
  <c r="F846" i="94" s="1"/>
  <c r="H845" i="94"/>
  <c r="F845" i="94" s="1"/>
  <c r="G845" i="94" s="1"/>
  <c r="H844" i="94"/>
  <c r="F844" i="94" s="1"/>
  <c r="G844" i="94" s="1"/>
  <c r="H843" i="94"/>
  <c r="F843" i="94" s="1"/>
  <c r="G843" i="94" s="1"/>
  <c r="H842" i="94"/>
  <c r="F842" i="94" s="1"/>
  <c r="G842" i="94" s="1"/>
  <c r="H841" i="94"/>
  <c r="F841" i="94" s="1"/>
  <c r="H840" i="94"/>
  <c r="F840" i="94" s="1"/>
  <c r="G840" i="94" s="1"/>
  <c r="H839" i="94"/>
  <c r="F839" i="94"/>
  <c r="G839" i="94" s="1"/>
  <c r="H838" i="94"/>
  <c r="F838" i="94" s="1"/>
  <c r="G838" i="94" s="1"/>
  <c r="H837" i="94"/>
  <c r="F837" i="94" s="1"/>
  <c r="E837" i="94"/>
  <c r="H836" i="94"/>
  <c r="F836" i="94" s="1"/>
  <c r="G836" i="94" s="1"/>
  <c r="H835" i="94"/>
  <c r="F835" i="94" s="1"/>
  <c r="G835" i="94" s="1"/>
  <c r="H834" i="94"/>
  <c r="G834" i="94"/>
  <c r="F834" i="94"/>
  <c r="H833" i="94"/>
  <c r="F833" i="94" s="1"/>
  <c r="G833" i="94" s="1"/>
  <c r="H832" i="94"/>
  <c r="F832" i="94" s="1"/>
  <c r="E832" i="94"/>
  <c r="H831" i="94"/>
  <c r="F831" i="94" s="1"/>
  <c r="H830" i="94"/>
  <c r="H829" i="94"/>
  <c r="H828" i="94"/>
  <c r="F828" i="94" s="1"/>
  <c r="G828" i="94" s="1"/>
  <c r="H827" i="94"/>
  <c r="F827" i="94" s="1"/>
  <c r="G827" i="94" s="1"/>
  <c r="H826" i="94"/>
  <c r="G826" i="94"/>
  <c r="F826" i="94"/>
  <c r="H825" i="94"/>
  <c r="F825" i="94" s="1"/>
  <c r="G825" i="94" s="1"/>
  <c r="H824" i="94"/>
  <c r="F824" i="94" s="1"/>
  <c r="G824" i="94" s="1"/>
  <c r="H823" i="94"/>
  <c r="F823" i="94" s="1"/>
  <c r="H822" i="94"/>
  <c r="E822" i="94"/>
  <c r="H821" i="94"/>
  <c r="H820" i="94"/>
  <c r="H819" i="94"/>
  <c r="H818" i="94"/>
  <c r="G818" i="94"/>
  <c r="F818" i="94"/>
  <c r="F817" i="94" s="1"/>
  <c r="G817" i="94" s="1"/>
  <c r="H817" i="94"/>
  <c r="E817" i="94"/>
  <c r="E816" i="94" s="1"/>
  <c r="H816" i="94"/>
  <c r="H815" i="94"/>
  <c r="H814" i="94"/>
  <c r="F814" i="94" s="1"/>
  <c r="H813" i="94"/>
  <c r="E813" i="94"/>
  <c r="H812" i="94"/>
  <c r="H811" i="94"/>
  <c r="G811" i="94"/>
  <c r="F811" i="94"/>
  <c r="H810" i="94"/>
  <c r="F810" i="94" s="1"/>
  <c r="G810" i="94" s="1"/>
  <c r="H809" i="94"/>
  <c r="F809" i="94" s="1"/>
  <c r="G809" i="94" s="1"/>
  <c r="H808" i="94"/>
  <c r="F808" i="94" s="1"/>
  <c r="G808" i="94" s="1"/>
  <c r="H807" i="94"/>
  <c r="F807" i="94"/>
  <c r="G807" i="94" s="1"/>
  <c r="H806" i="94"/>
  <c r="E806" i="94"/>
  <c r="H805" i="94"/>
  <c r="H804" i="94"/>
  <c r="F804" i="94" s="1"/>
  <c r="H803" i="94"/>
  <c r="E803" i="94"/>
  <c r="E802" i="94" s="1"/>
  <c r="E801" i="94" s="1"/>
  <c r="E800" i="94" s="1"/>
  <c r="H802" i="94"/>
  <c r="H801" i="94"/>
  <c r="H800" i="94"/>
  <c r="H798" i="94"/>
  <c r="F798" i="94" s="1"/>
  <c r="H797" i="94"/>
  <c r="E797" i="94"/>
  <c r="H796" i="94"/>
  <c r="H795" i="94"/>
  <c r="F795" i="94" s="1"/>
  <c r="G795" i="94" s="1"/>
  <c r="H794" i="94"/>
  <c r="F794" i="94" s="1"/>
  <c r="H793" i="94"/>
  <c r="E793" i="94"/>
  <c r="H792" i="94"/>
  <c r="H791" i="94"/>
  <c r="F791" i="94" s="1"/>
  <c r="G791" i="94" s="1"/>
  <c r="H790" i="94"/>
  <c r="F790" i="94" s="1"/>
  <c r="G790" i="94" s="1"/>
  <c r="H789" i="94"/>
  <c r="F789" i="94" s="1"/>
  <c r="G789" i="94" s="1"/>
  <c r="H788" i="94"/>
  <c r="F788" i="94" s="1"/>
  <c r="G788" i="94" s="1"/>
  <c r="H787" i="94"/>
  <c r="F787" i="94" s="1"/>
  <c r="G787" i="94" s="1"/>
  <c r="H786" i="94"/>
  <c r="F786" i="94" s="1"/>
  <c r="H785" i="94"/>
  <c r="E785" i="94"/>
  <c r="E784" i="94" s="1"/>
  <c r="H784" i="94"/>
  <c r="H783" i="94"/>
  <c r="H782" i="94"/>
  <c r="H781" i="94"/>
  <c r="H780" i="94"/>
  <c r="G780" i="94"/>
  <c r="F780" i="94"/>
  <c r="H779" i="94"/>
  <c r="F779" i="94" s="1"/>
  <c r="H778" i="94"/>
  <c r="E778" i="94"/>
  <c r="H777" i="94"/>
  <c r="H776" i="94"/>
  <c r="F776" i="94"/>
  <c r="G776" i="94" s="1"/>
  <c r="H775" i="94"/>
  <c r="F775" i="94" s="1"/>
  <c r="G775" i="94" s="1"/>
  <c r="H774" i="94"/>
  <c r="F774" i="94" s="1"/>
  <c r="G774" i="94" s="1"/>
  <c r="H773" i="94"/>
  <c r="G773" i="94"/>
  <c r="F773" i="94"/>
  <c r="F772" i="94" s="1"/>
  <c r="G772" i="94" s="1"/>
  <c r="H772" i="94"/>
  <c r="E772" i="94"/>
  <c r="E771" i="94" s="1"/>
  <c r="H771" i="94"/>
  <c r="H770" i="94"/>
  <c r="H769" i="94"/>
  <c r="F769" i="94" s="1"/>
  <c r="G769" i="94" s="1"/>
  <c r="H768" i="94"/>
  <c r="F768" i="94"/>
  <c r="G768" i="94" s="1"/>
  <c r="H767" i="94"/>
  <c r="F767" i="94" s="1"/>
  <c r="G767" i="94" s="1"/>
  <c r="H766" i="94"/>
  <c r="F766" i="94" s="1"/>
  <c r="G766" i="94" s="1"/>
  <c r="H765" i="94"/>
  <c r="G765" i="94"/>
  <c r="F765" i="94"/>
  <c r="H764" i="94"/>
  <c r="F764" i="94" s="1"/>
  <c r="G764" i="94" s="1"/>
  <c r="H763" i="94"/>
  <c r="F763" i="94" s="1"/>
  <c r="G763" i="94" s="1"/>
  <c r="H762" i="94"/>
  <c r="F762" i="94" s="1"/>
  <c r="G762" i="94" s="1"/>
  <c r="H761" i="94"/>
  <c r="F761" i="94"/>
  <c r="G761" i="94" s="1"/>
  <c r="H760" i="94"/>
  <c r="F760" i="94" s="1"/>
  <c r="G760" i="94" s="1"/>
  <c r="H759" i="94"/>
  <c r="F759" i="94" s="1"/>
  <c r="G759" i="94" s="1"/>
  <c r="H758" i="94"/>
  <c r="F758" i="94" s="1"/>
  <c r="G758" i="94" s="1"/>
  <c r="H757" i="94"/>
  <c r="F757" i="94" s="1"/>
  <c r="G757" i="94" s="1"/>
  <c r="H756" i="94"/>
  <c r="F756" i="94" s="1"/>
  <c r="G756" i="94" s="1"/>
  <c r="H755" i="94"/>
  <c r="F755" i="94" s="1"/>
  <c r="G755" i="94" s="1"/>
  <c r="H754" i="94"/>
  <c r="F754" i="94" s="1"/>
  <c r="G754" i="94" s="1"/>
  <c r="H753" i="94"/>
  <c r="F753" i="94" s="1"/>
  <c r="G753" i="94" s="1"/>
  <c r="H752" i="94"/>
  <c r="F752" i="94"/>
  <c r="G752" i="94" s="1"/>
  <c r="H751" i="94"/>
  <c r="F751" i="94" s="1"/>
  <c r="G751" i="94" s="1"/>
  <c r="H750" i="94"/>
  <c r="F750" i="94" s="1"/>
  <c r="G750" i="94" s="1"/>
  <c r="H749" i="94"/>
  <c r="F749" i="94"/>
  <c r="H748" i="94"/>
  <c r="F748" i="94" s="1"/>
  <c r="G748" i="94" s="1"/>
  <c r="H747" i="94"/>
  <c r="F747" i="94" s="1"/>
  <c r="G747" i="94" s="1"/>
  <c r="H746" i="94"/>
  <c r="G746" i="94"/>
  <c r="F746" i="94"/>
  <c r="H745" i="94"/>
  <c r="F745" i="94" s="1"/>
  <c r="G745" i="94" s="1"/>
  <c r="H744" i="94"/>
  <c r="F744" i="94" s="1"/>
  <c r="G744" i="94" s="1"/>
  <c r="H743" i="94"/>
  <c r="F743" i="94" s="1"/>
  <c r="G743" i="94" s="1"/>
  <c r="H742" i="94"/>
  <c r="F742" i="94" s="1"/>
  <c r="G742" i="94" s="1"/>
  <c r="H741" i="94"/>
  <c r="F741" i="94" s="1"/>
  <c r="G741" i="94" s="1"/>
  <c r="H740" i="94"/>
  <c r="F740" i="94" s="1"/>
  <c r="G740" i="94" s="1"/>
  <c r="H739" i="94"/>
  <c r="F739" i="94" s="1"/>
  <c r="G739" i="94" s="1"/>
  <c r="H738" i="94"/>
  <c r="F738" i="94"/>
  <c r="G738" i="94" s="1"/>
  <c r="H737" i="94"/>
  <c r="F737" i="94" s="1"/>
  <c r="G737" i="94" s="1"/>
  <c r="H736" i="94"/>
  <c r="F736" i="94" s="1"/>
  <c r="G736" i="94" s="1"/>
  <c r="H735" i="94"/>
  <c r="F735" i="94" s="1"/>
  <c r="G735" i="94" s="1"/>
  <c r="H734" i="94"/>
  <c r="F734" i="94" s="1"/>
  <c r="G734" i="94" s="1"/>
  <c r="H733" i="94"/>
  <c r="F733" i="94"/>
  <c r="H732" i="94"/>
  <c r="E732" i="94"/>
  <c r="H731" i="94"/>
  <c r="H730" i="94"/>
  <c r="F730" i="94" s="1"/>
  <c r="G730" i="94" s="1"/>
  <c r="H729" i="94"/>
  <c r="F729" i="94" s="1"/>
  <c r="G729" i="94" s="1"/>
  <c r="H728" i="94"/>
  <c r="F728" i="94" s="1"/>
  <c r="G728" i="94" s="1"/>
  <c r="H727" i="94"/>
  <c r="F727" i="94"/>
  <c r="G727" i="94" s="1"/>
  <c r="H726" i="94"/>
  <c r="E726" i="94"/>
  <c r="H725" i="94"/>
  <c r="H724" i="94"/>
  <c r="F724" i="94" s="1"/>
  <c r="H723" i="94"/>
  <c r="E723" i="94"/>
  <c r="E722" i="94" s="1"/>
  <c r="H722" i="94"/>
  <c r="H721" i="94"/>
  <c r="H720" i="94"/>
  <c r="H719" i="94"/>
  <c r="F719" i="94" s="1"/>
  <c r="H718" i="94"/>
  <c r="E718" i="94"/>
  <c r="H717" i="94"/>
  <c r="H716" i="94"/>
  <c r="F716" i="94"/>
  <c r="G716" i="94" s="1"/>
  <c r="H715" i="94"/>
  <c r="F715" i="94" s="1"/>
  <c r="G715" i="94" s="1"/>
  <c r="H714" i="94"/>
  <c r="F714" i="94"/>
  <c r="G714" i="94" s="1"/>
  <c r="E714" i="94"/>
  <c r="E713" i="94" s="1"/>
  <c r="E712" i="94" s="1"/>
  <c r="E711" i="94" s="1"/>
  <c r="H713" i="94"/>
  <c r="H712" i="94"/>
  <c r="H711" i="94"/>
  <c r="H710" i="94"/>
  <c r="F710" i="94" s="1"/>
  <c r="H709" i="94"/>
  <c r="E709" i="94"/>
  <c r="H708" i="94"/>
  <c r="E708" i="94"/>
  <c r="E707" i="94" s="1"/>
  <c r="H707" i="94"/>
  <c r="H706" i="94"/>
  <c r="H705" i="94"/>
  <c r="F705" i="94" s="1"/>
  <c r="G705" i="94" s="1"/>
  <c r="H704" i="94"/>
  <c r="F704" i="94" s="1"/>
  <c r="G704" i="94" s="1"/>
  <c r="H703" i="94"/>
  <c r="F703" i="94" s="1"/>
  <c r="G703" i="94" s="1"/>
  <c r="H702" i="94"/>
  <c r="F702" i="94" s="1"/>
  <c r="G702" i="94" s="1"/>
  <c r="E702" i="94"/>
  <c r="H701" i="94"/>
  <c r="F701" i="94"/>
  <c r="G701" i="94" s="1"/>
  <c r="H700" i="94"/>
  <c r="F700" i="94" s="1"/>
  <c r="E700" i="94"/>
  <c r="H699" i="94"/>
  <c r="F699" i="94" s="1"/>
  <c r="G699" i="94" s="1"/>
  <c r="H698" i="94"/>
  <c r="H697" i="94"/>
  <c r="H696" i="94"/>
  <c r="F696" i="94" s="1"/>
  <c r="G696" i="94" s="1"/>
  <c r="H695" i="94"/>
  <c r="F695" i="94" s="1"/>
  <c r="G695" i="94" s="1"/>
  <c r="H694" i="94"/>
  <c r="F694" i="94" s="1"/>
  <c r="G694" i="94" s="1"/>
  <c r="H693" i="94"/>
  <c r="F693" i="94" s="1"/>
  <c r="G693" i="94" s="1"/>
  <c r="H692" i="94"/>
  <c r="G692" i="94"/>
  <c r="F692" i="94"/>
  <c r="H691" i="94"/>
  <c r="F691" i="94" s="1"/>
  <c r="G691" i="94" s="1"/>
  <c r="E691" i="94"/>
  <c r="H690" i="94"/>
  <c r="F690" i="94" s="1"/>
  <c r="G690" i="94" s="1"/>
  <c r="H689" i="94"/>
  <c r="F689" i="94" s="1"/>
  <c r="G689" i="94" s="1"/>
  <c r="E689" i="94"/>
  <c r="H688" i="94"/>
  <c r="F688" i="94" s="1"/>
  <c r="G688" i="94" s="1"/>
  <c r="H687" i="94"/>
  <c r="H686" i="94"/>
  <c r="H685" i="94"/>
  <c r="H684" i="94"/>
  <c r="F684" i="94" s="1"/>
  <c r="F683" i="94" s="1"/>
  <c r="G683" i="94" s="1"/>
  <c r="H683" i="94"/>
  <c r="E683" i="94"/>
  <c r="H682" i="94"/>
  <c r="H681" i="94"/>
  <c r="F681" i="94" s="1"/>
  <c r="G681" i="94" s="1"/>
  <c r="H680" i="94"/>
  <c r="F680" i="94" s="1"/>
  <c r="G680" i="94" s="1"/>
  <c r="H679" i="94"/>
  <c r="G679" i="94"/>
  <c r="F679" i="94"/>
  <c r="H678" i="94"/>
  <c r="F678" i="94" s="1"/>
  <c r="G678" i="94" s="1"/>
  <c r="H677" i="94"/>
  <c r="F677" i="94" s="1"/>
  <c r="G677" i="94" s="1"/>
  <c r="H676" i="94"/>
  <c r="F676" i="94" s="1"/>
  <c r="G676" i="94" s="1"/>
  <c r="H675" i="94"/>
  <c r="F675" i="94" s="1"/>
  <c r="G675" i="94" s="1"/>
  <c r="H674" i="94"/>
  <c r="F674" i="94" s="1"/>
  <c r="G674" i="94" s="1"/>
  <c r="H673" i="94"/>
  <c r="F673" i="94" s="1"/>
  <c r="G673" i="94" s="1"/>
  <c r="H672" i="94"/>
  <c r="F672" i="94" s="1"/>
  <c r="G672" i="94" s="1"/>
  <c r="H671" i="94"/>
  <c r="F671" i="94"/>
  <c r="G671" i="94" s="1"/>
  <c r="H670" i="94"/>
  <c r="F670" i="94" s="1"/>
  <c r="H669" i="94"/>
  <c r="E669" i="94"/>
  <c r="E668" i="94" s="1"/>
  <c r="E667" i="94" s="1"/>
  <c r="H668" i="94"/>
  <c r="H667" i="94"/>
  <c r="H666" i="94"/>
  <c r="H665" i="94"/>
  <c r="H664" i="94"/>
  <c r="F664" i="94" s="1"/>
  <c r="G664" i="94" s="1"/>
  <c r="H663" i="94"/>
  <c r="F663" i="94"/>
  <c r="G663" i="94" s="1"/>
  <c r="E663" i="94"/>
  <c r="H662" i="94"/>
  <c r="E662" i="94"/>
  <c r="E657" i="94" s="1"/>
  <c r="H661" i="94"/>
  <c r="H660" i="94"/>
  <c r="F660" i="94" s="1"/>
  <c r="G660" i="94" s="1"/>
  <c r="H659" i="94"/>
  <c r="G659" i="94"/>
  <c r="F659" i="94"/>
  <c r="E659" i="94"/>
  <c r="H658" i="94"/>
  <c r="G658" i="94"/>
  <c r="F658" i="94"/>
  <c r="E658" i="94"/>
  <c r="H657" i="94"/>
  <c r="H656" i="94"/>
  <c r="F656" i="94"/>
  <c r="G656" i="94" s="1"/>
  <c r="H655" i="94"/>
  <c r="E655" i="94"/>
  <c r="H654" i="94"/>
  <c r="E654" i="94"/>
  <c r="H652" i="94"/>
  <c r="F652" i="94"/>
  <c r="G652" i="94" s="1"/>
  <c r="H651" i="94"/>
  <c r="F651" i="94" s="1"/>
  <c r="G651" i="94" s="1"/>
  <c r="H650" i="94"/>
  <c r="F650" i="94" s="1"/>
  <c r="G650" i="94"/>
  <c r="H649" i="94"/>
  <c r="F649" i="94" s="1"/>
  <c r="H648" i="94"/>
  <c r="F648" i="94" s="1"/>
  <c r="G648" i="94" s="1"/>
  <c r="H647" i="94"/>
  <c r="E647" i="94"/>
  <c r="H646" i="94"/>
  <c r="H645" i="94"/>
  <c r="G645" i="94"/>
  <c r="F645" i="94"/>
  <c r="F644" i="94" s="1"/>
  <c r="G644" i="94" s="1"/>
  <c r="H644" i="94"/>
  <c r="E644" i="94"/>
  <c r="H643" i="94"/>
  <c r="H642" i="94"/>
  <c r="F642" i="94" s="1"/>
  <c r="G642" i="94" s="1"/>
  <c r="H641" i="94"/>
  <c r="F641" i="94"/>
  <c r="G641" i="94" s="1"/>
  <c r="H640" i="94"/>
  <c r="F640" i="94" s="1"/>
  <c r="G640" i="94" s="1"/>
  <c r="H639" i="94"/>
  <c r="F639" i="94" s="1"/>
  <c r="G639" i="94" s="1"/>
  <c r="H638" i="94"/>
  <c r="F638" i="94" s="1"/>
  <c r="G638" i="94" s="1"/>
  <c r="H637" i="94"/>
  <c r="F637" i="94" s="1"/>
  <c r="G637" i="94" s="1"/>
  <c r="H636" i="94"/>
  <c r="F636" i="94" s="1"/>
  <c r="G636" i="94" s="1"/>
  <c r="H635" i="94"/>
  <c r="F635" i="94"/>
  <c r="G635" i="94" s="1"/>
  <c r="H634" i="94"/>
  <c r="F634" i="94" s="1"/>
  <c r="G634" i="94" s="1"/>
  <c r="H633" i="94"/>
  <c r="F633" i="94"/>
  <c r="G633" i="94" s="1"/>
  <c r="H632" i="94"/>
  <c r="F632" i="94" s="1"/>
  <c r="G632" i="94" s="1"/>
  <c r="H631" i="94"/>
  <c r="F631" i="94" s="1"/>
  <c r="H630" i="94"/>
  <c r="F630" i="94" s="1"/>
  <c r="G630" i="94" s="1"/>
  <c r="H629" i="94"/>
  <c r="E629" i="94"/>
  <c r="H628" i="94"/>
  <c r="H627" i="94"/>
  <c r="F627" i="94" s="1"/>
  <c r="G627" i="94" s="1"/>
  <c r="H626" i="94"/>
  <c r="F626" i="94" s="1"/>
  <c r="G626" i="94" s="1"/>
  <c r="H625" i="94"/>
  <c r="F625" i="94" s="1"/>
  <c r="G625" i="94" s="1"/>
  <c r="H624" i="94"/>
  <c r="F624" i="94" s="1"/>
  <c r="G624" i="94" s="1"/>
  <c r="H623" i="94"/>
  <c r="F623" i="94" s="1"/>
  <c r="G623" i="94" s="1"/>
  <c r="H622" i="94"/>
  <c r="F622" i="94" s="1"/>
  <c r="H621" i="94"/>
  <c r="E621" i="94"/>
  <c r="E620" i="94" s="1"/>
  <c r="E619" i="94" s="1"/>
  <c r="E618" i="94" s="1"/>
  <c r="H620" i="94"/>
  <c r="H619" i="94"/>
  <c r="H618" i="94"/>
  <c r="H617" i="94"/>
  <c r="F617" i="94" s="1"/>
  <c r="G617" i="94" s="1"/>
  <c r="H616" i="94"/>
  <c r="E616" i="94"/>
  <c r="E615" i="94" s="1"/>
  <c r="H615" i="94"/>
  <c r="H614" i="94"/>
  <c r="H613" i="94"/>
  <c r="F613" i="94" s="1"/>
  <c r="G613" i="94" s="1"/>
  <c r="H612" i="94"/>
  <c r="G612" i="94"/>
  <c r="F612" i="94"/>
  <c r="E612" i="94"/>
  <c r="H611" i="94"/>
  <c r="H610" i="94"/>
  <c r="F610" i="94" s="1"/>
  <c r="G610" i="94" s="1"/>
  <c r="H609" i="94"/>
  <c r="F609" i="94" s="1"/>
  <c r="G609" i="94" s="1"/>
  <c r="H608" i="94"/>
  <c r="G608" i="94"/>
  <c r="F608" i="94"/>
  <c r="H607" i="94"/>
  <c r="F607" i="94" s="1"/>
  <c r="G607" i="94" s="1"/>
  <c r="H606" i="94"/>
  <c r="F606" i="94" s="1"/>
  <c r="G606" i="94" s="1"/>
  <c r="H605" i="94"/>
  <c r="F605" i="94" s="1"/>
  <c r="G605" i="94" s="1"/>
  <c r="H604" i="94"/>
  <c r="F604" i="94" s="1"/>
  <c r="G604" i="94" s="1"/>
  <c r="H603" i="94"/>
  <c r="F603" i="94" s="1"/>
  <c r="G603" i="94" s="1"/>
  <c r="H602" i="94"/>
  <c r="F602" i="94" s="1"/>
  <c r="G602" i="94" s="1"/>
  <c r="H601" i="94"/>
  <c r="F601" i="94" s="1"/>
  <c r="G601" i="94" s="1"/>
  <c r="H600" i="94"/>
  <c r="F600" i="94" s="1"/>
  <c r="G600" i="94" s="1"/>
  <c r="H599" i="94"/>
  <c r="F599" i="94" s="1"/>
  <c r="G599" i="94" s="1"/>
  <c r="H598" i="94"/>
  <c r="F598" i="94" s="1"/>
  <c r="G598" i="94" s="1"/>
  <c r="H597" i="94"/>
  <c r="F597" i="94" s="1"/>
  <c r="G597" i="94" s="1"/>
  <c r="H596" i="94"/>
  <c r="F596" i="94"/>
  <c r="G596" i="94" s="1"/>
  <c r="H595" i="94"/>
  <c r="F595" i="94" s="1"/>
  <c r="H594" i="94"/>
  <c r="F594" i="94" s="1"/>
  <c r="G594" i="94" s="1"/>
  <c r="H593" i="94"/>
  <c r="E593" i="94"/>
  <c r="E584" i="94" s="1"/>
  <c r="E583" i="94" s="1"/>
  <c r="H592" i="94"/>
  <c r="H591" i="94"/>
  <c r="F591" i="94" s="1"/>
  <c r="G591" i="94" s="1"/>
  <c r="H590" i="94"/>
  <c r="F590" i="94" s="1"/>
  <c r="H589" i="94"/>
  <c r="F589" i="94" s="1"/>
  <c r="G589" i="94" s="1"/>
  <c r="H588" i="94"/>
  <c r="F588" i="94"/>
  <c r="G588" i="94" s="1"/>
  <c r="H587" i="94"/>
  <c r="F587" i="94" s="1"/>
  <c r="G587" i="94" s="1"/>
  <c r="H586" i="94"/>
  <c r="G586" i="94"/>
  <c r="F586" i="94"/>
  <c r="H585" i="94"/>
  <c r="E585" i="94"/>
  <c r="H584" i="94"/>
  <c r="H583" i="94"/>
  <c r="H582" i="94"/>
  <c r="H581" i="94"/>
  <c r="H580" i="94"/>
  <c r="F580" i="94"/>
  <c r="G580" i="94" s="1"/>
  <c r="H579" i="94"/>
  <c r="F579" i="94" s="1"/>
  <c r="H578" i="94"/>
  <c r="E578" i="94"/>
  <c r="H577" i="94"/>
  <c r="E577" i="94"/>
  <c r="H576" i="94"/>
  <c r="H575" i="94"/>
  <c r="F575" i="94" s="1"/>
  <c r="H574" i="94"/>
  <c r="E574" i="94"/>
  <c r="E573" i="94" s="1"/>
  <c r="E572" i="94" s="1"/>
  <c r="H573" i="94"/>
  <c r="H572" i="94"/>
  <c r="H571" i="94"/>
  <c r="F571" i="94" s="1"/>
  <c r="G571" i="94" s="1"/>
  <c r="H570" i="94"/>
  <c r="G570" i="94"/>
  <c r="F570" i="94"/>
  <c r="H569" i="94"/>
  <c r="F569" i="94" s="1"/>
  <c r="G569" i="94" s="1"/>
  <c r="H568" i="94"/>
  <c r="F568" i="94" s="1"/>
  <c r="H567" i="94"/>
  <c r="E567" i="94"/>
  <c r="H566" i="94"/>
  <c r="E566" i="94"/>
  <c r="H565" i="94"/>
  <c r="H564" i="94"/>
  <c r="F564" i="94" s="1"/>
  <c r="H563" i="94"/>
  <c r="E563" i="94"/>
  <c r="H562" i="94"/>
  <c r="H561" i="94"/>
  <c r="F561" i="94" s="1"/>
  <c r="G561" i="94" s="1"/>
  <c r="H560" i="94"/>
  <c r="F560" i="94" s="1"/>
  <c r="G560" i="94" s="1"/>
  <c r="H559" i="94"/>
  <c r="F559" i="94"/>
  <c r="G559" i="94" s="1"/>
  <c r="H558" i="94"/>
  <c r="F558" i="94" s="1"/>
  <c r="G558" i="94" s="1"/>
  <c r="H557" i="94"/>
  <c r="F557" i="94"/>
  <c r="G557" i="94" s="1"/>
  <c r="H556" i="94"/>
  <c r="F556" i="94" s="1"/>
  <c r="G556" i="94" s="1"/>
  <c r="H555" i="94"/>
  <c r="F555" i="94" s="1"/>
  <c r="G555" i="94" s="1"/>
  <c r="H554" i="94"/>
  <c r="F554" i="94" s="1"/>
  <c r="G554" i="94" s="1"/>
  <c r="H553" i="94"/>
  <c r="F553" i="94" s="1"/>
  <c r="H552" i="94"/>
  <c r="G552" i="94"/>
  <c r="F552" i="94"/>
  <c r="H551" i="94"/>
  <c r="E551" i="94"/>
  <c r="H550" i="94"/>
  <c r="H549" i="94"/>
  <c r="E549" i="94"/>
  <c r="H548" i="94"/>
  <c r="E548" i="94"/>
  <c r="E547" i="94" s="1"/>
  <c r="E546" i="94" s="1"/>
  <c r="H547" i="94"/>
  <c r="H546" i="94"/>
  <c r="H545" i="94"/>
  <c r="G545" i="94"/>
  <c r="F545" i="94"/>
  <c r="H544" i="94"/>
  <c r="F544" i="94" s="1"/>
  <c r="H543" i="94"/>
  <c r="E543" i="94"/>
  <c r="E542" i="94" s="1"/>
  <c r="H542" i="94"/>
  <c r="H541" i="94"/>
  <c r="H540" i="94"/>
  <c r="F540" i="94"/>
  <c r="G540" i="94" s="1"/>
  <c r="H539" i="94"/>
  <c r="F539" i="94" s="1"/>
  <c r="G539" i="94" s="1"/>
  <c r="H538" i="94"/>
  <c r="F538" i="94"/>
  <c r="G538" i="94" s="1"/>
  <c r="H537" i="94"/>
  <c r="F537" i="94" s="1"/>
  <c r="G537" i="94" s="1"/>
  <c r="H536" i="94"/>
  <c r="F536" i="94" s="1"/>
  <c r="G536" i="94" s="1"/>
  <c r="H535" i="94"/>
  <c r="F535" i="94" s="1"/>
  <c r="G535" i="94" s="1"/>
  <c r="H534" i="94"/>
  <c r="F534" i="94" s="1"/>
  <c r="G534" i="94" s="1"/>
  <c r="H533" i="94"/>
  <c r="G533" i="94"/>
  <c r="F533" i="94"/>
  <c r="H532" i="94"/>
  <c r="F532" i="94" s="1"/>
  <c r="G532" i="94" s="1"/>
  <c r="H531" i="94"/>
  <c r="F531" i="94" s="1"/>
  <c r="G531" i="94" s="1"/>
  <c r="H530" i="94"/>
  <c r="F530" i="94" s="1"/>
  <c r="G530" i="94" s="1"/>
  <c r="H529" i="94"/>
  <c r="F529" i="94" s="1"/>
  <c r="G529" i="94" s="1"/>
  <c r="H528" i="94"/>
  <c r="F528" i="94" s="1"/>
  <c r="G528" i="94" s="1"/>
  <c r="H527" i="94"/>
  <c r="F527" i="94" s="1"/>
  <c r="G527" i="94" s="1"/>
  <c r="H526" i="94"/>
  <c r="F526" i="94" s="1"/>
  <c r="G526" i="94" s="1"/>
  <c r="H525" i="94"/>
  <c r="F525" i="94"/>
  <c r="G525" i="94" s="1"/>
  <c r="H524" i="94"/>
  <c r="F524" i="94" s="1"/>
  <c r="H523" i="94"/>
  <c r="E523" i="94"/>
  <c r="H522" i="94"/>
  <c r="H521" i="94"/>
  <c r="F521" i="94" s="1"/>
  <c r="H520" i="94"/>
  <c r="E520" i="94"/>
  <c r="H519" i="94"/>
  <c r="H518" i="94"/>
  <c r="F518" i="94"/>
  <c r="G518" i="94" s="1"/>
  <c r="H517" i="94"/>
  <c r="F517" i="94" s="1"/>
  <c r="G517" i="94" s="1"/>
  <c r="H516" i="94"/>
  <c r="F516" i="94"/>
  <c r="G516" i="94" s="1"/>
  <c r="H515" i="94"/>
  <c r="F515" i="94" s="1"/>
  <c r="G515" i="94" s="1"/>
  <c r="H514" i="94"/>
  <c r="F514" i="94" s="1"/>
  <c r="H513" i="94"/>
  <c r="F513" i="94" s="1"/>
  <c r="G513" i="94" s="1"/>
  <c r="E513" i="94"/>
  <c r="H512" i="94"/>
  <c r="F512" i="94" s="1"/>
  <c r="H511" i="94"/>
  <c r="E511" i="94"/>
  <c r="H510" i="94"/>
  <c r="H509" i="94"/>
  <c r="F509" i="94" s="1"/>
  <c r="G509" i="94" s="1"/>
  <c r="H508" i="94"/>
  <c r="F508" i="94" s="1"/>
  <c r="G508" i="94" s="1"/>
  <c r="H507" i="94"/>
  <c r="F507" i="94"/>
  <c r="G507" i="94" s="1"/>
  <c r="H506" i="94"/>
  <c r="F506" i="94" s="1"/>
  <c r="G506" i="94" s="1"/>
  <c r="H505" i="94"/>
  <c r="F505" i="94" s="1"/>
  <c r="G505" i="94" s="1"/>
  <c r="H504" i="94"/>
  <c r="F504" i="94"/>
  <c r="G504" i="94" s="1"/>
  <c r="H503" i="94"/>
  <c r="E503" i="94"/>
  <c r="H502" i="94"/>
  <c r="H501" i="94"/>
  <c r="H500" i="94"/>
  <c r="H499" i="94"/>
  <c r="F499" i="94" s="1"/>
  <c r="H498" i="94"/>
  <c r="E498" i="94"/>
  <c r="E497" i="94" s="1"/>
  <c r="H497" i="94"/>
  <c r="H496" i="94"/>
  <c r="H495" i="94"/>
  <c r="F495" i="94" s="1"/>
  <c r="G495" i="94" s="1"/>
  <c r="H494" i="94"/>
  <c r="F494" i="94" s="1"/>
  <c r="G494" i="94" s="1"/>
  <c r="H493" i="94"/>
  <c r="F493" i="94" s="1"/>
  <c r="G493" i="94" s="1"/>
  <c r="H492" i="94"/>
  <c r="F492" i="94" s="1"/>
  <c r="G492" i="94"/>
  <c r="H491" i="94"/>
  <c r="F491" i="94"/>
  <c r="G491" i="94" s="1"/>
  <c r="H490" i="94"/>
  <c r="F490" i="94" s="1"/>
  <c r="G490" i="94" s="1"/>
  <c r="H489" i="94"/>
  <c r="F489" i="94"/>
  <c r="G489" i="94" s="1"/>
  <c r="H488" i="94"/>
  <c r="F488" i="94" s="1"/>
  <c r="G488" i="94" s="1"/>
  <c r="H487" i="94"/>
  <c r="F487" i="94" s="1"/>
  <c r="G487" i="94" s="1"/>
  <c r="H486" i="94"/>
  <c r="F486" i="94" s="1"/>
  <c r="G486" i="94" s="1"/>
  <c r="H485" i="94"/>
  <c r="F485" i="94" s="1"/>
  <c r="G485" i="94" s="1"/>
  <c r="H484" i="94"/>
  <c r="F484" i="94"/>
  <c r="G484" i="94" s="1"/>
  <c r="H483" i="94"/>
  <c r="F483" i="94" s="1"/>
  <c r="G483" i="94" s="1"/>
  <c r="H482" i="94"/>
  <c r="F482" i="94" s="1"/>
  <c r="G482" i="94"/>
  <c r="H481" i="94"/>
  <c r="F481" i="94" s="1"/>
  <c r="G481" i="94" s="1"/>
  <c r="H480" i="94"/>
  <c r="F480" i="94" s="1"/>
  <c r="G480" i="94" s="1"/>
  <c r="H479" i="94"/>
  <c r="F479" i="94" s="1"/>
  <c r="G479" i="94" s="1"/>
  <c r="H478" i="94"/>
  <c r="F478" i="94" s="1"/>
  <c r="G478" i="94" s="1"/>
  <c r="H477" i="94"/>
  <c r="E477" i="94"/>
  <c r="H476" i="94"/>
  <c r="H475" i="94"/>
  <c r="F475" i="94" s="1"/>
  <c r="F474" i="94" s="1"/>
  <c r="E475" i="94"/>
  <c r="E474" i="94" s="1"/>
  <c r="H474" i="94"/>
  <c r="H473" i="94"/>
  <c r="H472" i="94"/>
  <c r="F472" i="94"/>
  <c r="G472" i="94" s="1"/>
  <c r="H471" i="94"/>
  <c r="F471" i="94" s="1"/>
  <c r="G471" i="94" s="1"/>
  <c r="H470" i="94"/>
  <c r="F470" i="94"/>
  <c r="G470" i="94" s="1"/>
  <c r="H469" i="94"/>
  <c r="F469" i="94"/>
  <c r="G469" i="94" s="1"/>
  <c r="H468" i="94"/>
  <c r="E468" i="94"/>
  <c r="H467" i="94"/>
  <c r="E467" i="94"/>
  <c r="H466" i="94"/>
  <c r="H465" i="94"/>
  <c r="H464" i="94"/>
  <c r="H463" i="94"/>
  <c r="F463" i="94" s="1"/>
  <c r="H462" i="94"/>
  <c r="E462" i="94"/>
  <c r="H461" i="94"/>
  <c r="H460" i="94"/>
  <c r="F460" i="94" s="1"/>
  <c r="H459" i="94"/>
  <c r="E459" i="94"/>
  <c r="E458" i="94" s="1"/>
  <c r="H458" i="94"/>
  <c r="H456" i="94"/>
  <c r="F456" i="94" s="1"/>
  <c r="F455" i="94" s="1"/>
  <c r="G455" i="94" s="1"/>
  <c r="E455" i="94"/>
  <c r="H453" i="94"/>
  <c r="F453" i="94" s="1"/>
  <c r="H452" i="94"/>
  <c r="F452" i="94" s="1"/>
  <c r="G452" i="94" s="1"/>
  <c r="H451" i="94"/>
  <c r="F451" i="94"/>
  <c r="G451" i="94" s="1"/>
  <c r="H450" i="94"/>
  <c r="E450" i="94"/>
  <c r="H449" i="94"/>
  <c r="H448" i="94"/>
  <c r="F448" i="94" s="1"/>
  <c r="G448" i="94" s="1"/>
  <c r="H447" i="94"/>
  <c r="F447" i="94"/>
  <c r="G447" i="94" s="1"/>
  <c r="H446" i="94"/>
  <c r="F446" i="94" s="1"/>
  <c r="G446" i="94" s="1"/>
  <c r="H445" i="94"/>
  <c r="F445" i="94" s="1"/>
  <c r="G445" i="94" s="1"/>
  <c r="H444" i="94"/>
  <c r="E444" i="94"/>
  <c r="H443" i="94"/>
  <c r="H442" i="94"/>
  <c r="H441" i="94"/>
  <c r="H440" i="94"/>
  <c r="F440" i="94" s="1"/>
  <c r="F438" i="94" s="1"/>
  <c r="H439" i="94"/>
  <c r="F439" i="94"/>
  <c r="G439" i="94" s="1"/>
  <c r="H438" i="94"/>
  <c r="E438" i="94"/>
  <c r="E437" i="94" s="1"/>
  <c r="H437" i="94"/>
  <c r="H436" i="94"/>
  <c r="F436" i="94" s="1"/>
  <c r="H435" i="94"/>
  <c r="E435" i="94"/>
  <c r="H434" i="94"/>
  <c r="H433" i="94"/>
  <c r="F433" i="94" s="1"/>
  <c r="H432" i="94"/>
  <c r="E432" i="94"/>
  <c r="H431" i="94"/>
  <c r="H430" i="94"/>
  <c r="E430" i="94"/>
  <c r="E429" i="94" s="1"/>
  <c r="E428" i="94" s="1"/>
  <c r="H429" i="94"/>
  <c r="H428" i="94"/>
  <c r="H427" i="94"/>
  <c r="F427" i="94" s="1"/>
  <c r="H426" i="94"/>
  <c r="E426" i="94"/>
  <c r="E425" i="94" s="1"/>
  <c r="E424" i="94" s="1"/>
  <c r="H425" i="94"/>
  <c r="H424" i="94"/>
  <c r="H423" i="94"/>
  <c r="F423" i="94" s="1"/>
  <c r="G423" i="94" s="1"/>
  <c r="H422" i="94"/>
  <c r="E422" i="94"/>
  <c r="H421" i="94"/>
  <c r="E421" i="94"/>
  <c r="H420" i="94"/>
  <c r="E420" i="94"/>
  <c r="H419" i="94"/>
  <c r="F419" i="94" s="1"/>
  <c r="H418" i="94"/>
  <c r="E418" i="94"/>
  <c r="E417" i="94" s="1"/>
  <c r="E416" i="94" s="1"/>
  <c r="H417" i="94"/>
  <c r="H416" i="94"/>
  <c r="H415" i="94"/>
  <c r="F415" i="94" s="1"/>
  <c r="H414" i="94"/>
  <c r="E414" i="94"/>
  <c r="E413" i="94" s="1"/>
  <c r="H413" i="94"/>
  <c r="H412" i="94"/>
  <c r="H411" i="94"/>
  <c r="F411" i="94" s="1"/>
  <c r="H410" i="94"/>
  <c r="E410" i="94"/>
  <c r="E409" i="94" s="1"/>
  <c r="E408" i="94" s="1"/>
  <c r="H409" i="94"/>
  <c r="H408" i="94"/>
  <c r="H407" i="94"/>
  <c r="F407" i="94" s="1"/>
  <c r="G407" i="94" s="1"/>
  <c r="H406" i="94"/>
  <c r="F406" i="94" s="1"/>
  <c r="G406" i="94"/>
  <c r="H405" i="94"/>
  <c r="F405" i="94" s="1"/>
  <c r="G405" i="94" s="1"/>
  <c r="H404" i="94"/>
  <c r="F404" i="94"/>
  <c r="G404" i="94" s="1"/>
  <c r="H403" i="94"/>
  <c r="F403" i="94"/>
  <c r="G403" i="94" s="1"/>
  <c r="H402" i="94"/>
  <c r="F402" i="94" s="1"/>
  <c r="G402" i="94"/>
  <c r="H401" i="94"/>
  <c r="F401" i="94" s="1"/>
  <c r="G401" i="94" s="1"/>
  <c r="H400" i="94"/>
  <c r="F400" i="94"/>
  <c r="G400" i="94" s="1"/>
  <c r="H399" i="94"/>
  <c r="F399" i="94" s="1"/>
  <c r="G399" i="94" s="1"/>
  <c r="H398" i="94"/>
  <c r="F398" i="94" s="1"/>
  <c r="G398" i="94"/>
  <c r="H397" i="94"/>
  <c r="F397" i="94" s="1"/>
  <c r="H396" i="94"/>
  <c r="E396" i="94"/>
  <c r="H395" i="94"/>
  <c r="H394" i="94"/>
  <c r="F394" i="94" s="1"/>
  <c r="G394" i="94" s="1"/>
  <c r="H393" i="94"/>
  <c r="F393" i="94" s="1"/>
  <c r="G393" i="94" s="1"/>
  <c r="H392" i="94"/>
  <c r="F392" i="94" s="1"/>
  <c r="G392" i="94" s="1"/>
  <c r="H391" i="94"/>
  <c r="F391" i="94" s="1"/>
  <c r="G391" i="94"/>
  <c r="H390" i="94"/>
  <c r="F390" i="94" s="1"/>
  <c r="G390" i="94" s="1"/>
  <c r="H389" i="94"/>
  <c r="F389" i="94"/>
  <c r="G389" i="94" s="1"/>
  <c r="H388" i="94"/>
  <c r="F388" i="94" s="1"/>
  <c r="G388" i="94" s="1"/>
  <c r="H387" i="94"/>
  <c r="F387" i="94"/>
  <c r="G387" i="94" s="1"/>
  <c r="H386" i="94"/>
  <c r="F386" i="94"/>
  <c r="G386" i="94" s="1"/>
  <c r="H385" i="94"/>
  <c r="F385" i="94" s="1"/>
  <c r="G385" i="94" s="1"/>
  <c r="H384" i="94"/>
  <c r="F384" i="94" s="1"/>
  <c r="H383" i="94"/>
  <c r="E383" i="94"/>
  <c r="E382" i="94" s="1"/>
  <c r="H382" i="94"/>
  <c r="H381" i="94"/>
  <c r="H380" i="94"/>
  <c r="F380" i="94" s="1"/>
  <c r="H379" i="94"/>
  <c r="E379" i="94"/>
  <c r="H378" i="94"/>
  <c r="H377" i="94"/>
  <c r="F377" i="94" s="1"/>
  <c r="H376" i="94"/>
  <c r="E376" i="94"/>
  <c r="H375" i="94"/>
  <c r="H374" i="94"/>
  <c r="F374" i="94" s="1"/>
  <c r="G374" i="94" s="1"/>
  <c r="H373" i="94"/>
  <c r="F373" i="94" s="1"/>
  <c r="G373" i="94" s="1"/>
  <c r="H372" i="94"/>
  <c r="F372" i="94"/>
  <c r="G372" i="94" s="1"/>
  <c r="H371" i="94"/>
  <c r="F371" i="94" s="1"/>
  <c r="G371" i="94" s="1"/>
  <c r="H370" i="94"/>
  <c r="F370" i="94" s="1"/>
  <c r="G370" i="94" s="1"/>
  <c r="H369" i="94"/>
  <c r="F369" i="94"/>
  <c r="G369" i="94" s="1"/>
  <c r="H368" i="94"/>
  <c r="F368" i="94"/>
  <c r="G368" i="94" s="1"/>
  <c r="H367" i="94"/>
  <c r="F367" i="94" s="1"/>
  <c r="G367" i="94" s="1"/>
  <c r="H366" i="94"/>
  <c r="F366" i="94" s="1"/>
  <c r="G366" i="94" s="1"/>
  <c r="H365" i="94"/>
  <c r="F365" i="94"/>
  <c r="G365" i="94" s="1"/>
  <c r="AA364" i="94"/>
  <c r="H364" i="94" s="1"/>
  <c r="F364" i="94" s="1"/>
  <c r="G364" i="94" s="1"/>
  <c r="H363" i="94"/>
  <c r="F363" i="94"/>
  <c r="G363" i="94" s="1"/>
  <c r="H362" i="94"/>
  <c r="F362" i="94" s="1"/>
  <c r="G362" i="94" s="1"/>
  <c r="H361" i="94"/>
  <c r="F361" i="94" s="1"/>
  <c r="G361" i="94" s="1"/>
  <c r="H360" i="94"/>
  <c r="F360" i="94"/>
  <c r="G360" i="94" s="1"/>
  <c r="H359" i="94"/>
  <c r="F359" i="94" s="1"/>
  <c r="G359" i="94" s="1"/>
  <c r="H358" i="94"/>
  <c r="F358" i="94" s="1"/>
  <c r="G358" i="94" s="1"/>
  <c r="H357" i="94"/>
  <c r="F357" i="94" s="1"/>
  <c r="G357" i="94" s="1"/>
  <c r="H356" i="94"/>
  <c r="F356" i="94" s="1"/>
  <c r="G356" i="94" s="1"/>
  <c r="H355" i="94"/>
  <c r="F355" i="94"/>
  <c r="G355" i="94" s="1"/>
  <c r="H354" i="94"/>
  <c r="F354" i="94" s="1"/>
  <c r="G354" i="94" s="1"/>
  <c r="H353" i="94"/>
  <c r="F353" i="94" s="1"/>
  <c r="H352" i="94"/>
  <c r="F352" i="94" s="1"/>
  <c r="G352" i="94" s="1"/>
  <c r="H351" i="94"/>
  <c r="E351" i="94"/>
  <c r="H350" i="94"/>
  <c r="H349" i="94"/>
  <c r="F349" i="94"/>
  <c r="G349" i="94" s="1"/>
  <c r="H348" i="94"/>
  <c r="F348" i="94" s="1"/>
  <c r="G348" i="94" s="1"/>
  <c r="H347" i="94"/>
  <c r="F347" i="94" s="1"/>
  <c r="G347" i="94" s="1"/>
  <c r="H346" i="94"/>
  <c r="F346" i="94" s="1"/>
  <c r="G346" i="94" s="1"/>
  <c r="H345" i="94"/>
  <c r="F345" i="94" s="1"/>
  <c r="G345" i="94" s="1"/>
  <c r="H344" i="94"/>
  <c r="F344" i="94"/>
  <c r="G344" i="94" s="1"/>
  <c r="H343" i="94"/>
  <c r="E343" i="94"/>
  <c r="H342" i="94"/>
  <c r="E342" i="94"/>
  <c r="E341" i="94" s="1"/>
  <c r="H341" i="94"/>
  <c r="H340" i="94"/>
  <c r="H338" i="94"/>
  <c r="F338" i="94" s="1"/>
  <c r="H337" i="94"/>
  <c r="E337" i="94"/>
  <c r="H336" i="94"/>
  <c r="F336" i="94" s="1"/>
  <c r="H335" i="94"/>
  <c r="E335" i="94"/>
  <c r="H334" i="94"/>
  <c r="E334" i="94"/>
  <c r="E333" i="94" s="1"/>
  <c r="E332" i="94" s="1"/>
  <c r="H333" i="94"/>
  <c r="H332" i="94"/>
  <c r="H331" i="94"/>
  <c r="F331" i="94"/>
  <c r="G331" i="94" s="1"/>
  <c r="H330" i="94"/>
  <c r="F330" i="94" s="1"/>
  <c r="G330" i="94" s="1"/>
  <c r="H329" i="94"/>
  <c r="F329" i="94" s="1"/>
  <c r="G329" i="94" s="1"/>
  <c r="H328" i="94"/>
  <c r="F328" i="94" s="1"/>
  <c r="H327" i="94"/>
  <c r="F327" i="94" s="1"/>
  <c r="G327" i="94" s="1"/>
  <c r="H326" i="94"/>
  <c r="E326" i="94"/>
  <c r="H325" i="94"/>
  <c r="H324" i="94"/>
  <c r="F324" i="94"/>
  <c r="F323" i="94" s="1"/>
  <c r="H323" i="94"/>
  <c r="E323" i="94"/>
  <c r="E322" i="94" s="1"/>
  <c r="E321" i="94" s="1"/>
  <c r="E320" i="94" s="1"/>
  <c r="H322" i="94"/>
  <c r="H321" i="94"/>
  <c r="H320" i="94"/>
  <c r="H319" i="94"/>
  <c r="F319" i="94"/>
  <c r="G319" i="94" s="1"/>
  <c r="H318" i="94"/>
  <c r="F318" i="94" s="1"/>
  <c r="G318" i="94" s="1"/>
  <c r="H317" i="94"/>
  <c r="F317" i="94" s="1"/>
  <c r="G317" i="94" s="1"/>
  <c r="H316" i="94"/>
  <c r="F316" i="94" s="1"/>
  <c r="G316" i="94" s="1"/>
  <c r="H315" i="94"/>
  <c r="F315" i="94"/>
  <c r="G315" i="94" s="1"/>
  <c r="H314" i="94"/>
  <c r="F314" i="94" s="1"/>
  <c r="G314" i="94" s="1"/>
  <c r="H313" i="94"/>
  <c r="F313" i="94" s="1"/>
  <c r="H312" i="94"/>
  <c r="F312" i="94"/>
  <c r="G312" i="94" s="1"/>
  <c r="H311" i="94"/>
  <c r="E311" i="94"/>
  <c r="H310" i="94"/>
  <c r="H309" i="94"/>
  <c r="F309" i="94" s="1"/>
  <c r="G309" i="94" s="1"/>
  <c r="H308" i="94"/>
  <c r="F308" i="94"/>
  <c r="G308" i="94" s="1"/>
  <c r="H307" i="94"/>
  <c r="F307" i="94" s="1"/>
  <c r="G307" i="94" s="1"/>
  <c r="H306" i="94"/>
  <c r="F306" i="94" s="1"/>
  <c r="G306" i="94" s="1"/>
  <c r="H305" i="94"/>
  <c r="F305" i="94" s="1"/>
  <c r="G305" i="94" s="1"/>
  <c r="H304" i="94"/>
  <c r="F304" i="94"/>
  <c r="G304" i="94" s="1"/>
  <c r="H303" i="94"/>
  <c r="F303" i="94" s="1"/>
  <c r="G303" i="94" s="1"/>
  <c r="H302" i="94"/>
  <c r="F302" i="94" s="1"/>
  <c r="H301" i="94"/>
  <c r="E301" i="94"/>
  <c r="E300" i="94" s="1"/>
  <c r="H300" i="94"/>
  <c r="H299" i="94"/>
  <c r="F299" i="94"/>
  <c r="F297" i="94" s="1"/>
  <c r="H298" i="94"/>
  <c r="F298" i="94" s="1"/>
  <c r="G298" i="94" s="1"/>
  <c r="H297" i="94"/>
  <c r="E297" i="94"/>
  <c r="E296" i="94" s="1"/>
  <c r="E295" i="94" s="1"/>
  <c r="H296" i="94"/>
  <c r="H295" i="94"/>
  <c r="H294" i="94"/>
  <c r="H293" i="94"/>
  <c r="F293" i="94" s="1"/>
  <c r="G293" i="94" s="1"/>
  <c r="H292" i="94"/>
  <c r="F292" i="94" s="1"/>
  <c r="G292" i="94" s="1"/>
  <c r="H291" i="94"/>
  <c r="F291" i="94"/>
  <c r="G291" i="94" s="1"/>
  <c r="H290" i="94"/>
  <c r="F290" i="94" s="1"/>
  <c r="H289" i="94"/>
  <c r="E289" i="94"/>
  <c r="H288" i="94"/>
  <c r="H287" i="94"/>
  <c r="F287" i="94" s="1"/>
  <c r="G287" i="94" s="1"/>
  <c r="H286" i="94"/>
  <c r="F286" i="94"/>
  <c r="G286" i="94" s="1"/>
  <c r="AA285" i="94"/>
  <c r="H285" i="94" s="1"/>
  <c r="F285" i="94" s="1"/>
  <c r="G285" i="94" s="1"/>
  <c r="H284" i="94"/>
  <c r="F284" i="94" s="1"/>
  <c r="H283" i="94"/>
  <c r="E283" i="94"/>
  <c r="E282" i="94" s="1"/>
  <c r="H282" i="94"/>
  <c r="H281" i="94"/>
  <c r="H280" i="94"/>
  <c r="F280" i="94" s="1"/>
  <c r="G280" i="94" s="1"/>
  <c r="H279" i="94"/>
  <c r="F279" i="94" s="1"/>
  <c r="H278" i="94"/>
  <c r="F278" i="94"/>
  <c r="G278" i="94" s="1"/>
  <c r="H277" i="94"/>
  <c r="E277" i="94"/>
  <c r="H276" i="94"/>
  <c r="H275" i="94"/>
  <c r="F275" i="94" s="1"/>
  <c r="G275" i="94" s="1"/>
  <c r="H274" i="94"/>
  <c r="F274" i="94"/>
  <c r="G274" i="94" s="1"/>
  <c r="H273" i="94"/>
  <c r="F273" i="94" s="1"/>
  <c r="G273" i="94" s="1"/>
  <c r="H272" i="94"/>
  <c r="F272" i="94" s="1"/>
  <c r="H271" i="94"/>
  <c r="E271" i="94"/>
  <c r="E270" i="94" s="1"/>
  <c r="E269" i="94" s="1"/>
  <c r="E268" i="94" s="1"/>
  <c r="H270" i="94"/>
  <c r="H269" i="94"/>
  <c r="H268" i="94"/>
  <c r="H267" i="94"/>
  <c r="H266" i="94"/>
  <c r="F266" i="94" s="1"/>
  <c r="H265" i="94"/>
  <c r="E265" i="94"/>
  <c r="H264" i="94"/>
  <c r="H263" i="94"/>
  <c r="F263" i="94"/>
  <c r="G263" i="94" s="1"/>
  <c r="H262" i="94"/>
  <c r="F262" i="94" s="1"/>
  <c r="G262" i="94" s="1"/>
  <c r="H261" i="94"/>
  <c r="F261" i="94" s="1"/>
  <c r="G261" i="94" s="1"/>
  <c r="H260" i="94"/>
  <c r="F260" i="94"/>
  <c r="G260" i="94" s="1"/>
  <c r="H259" i="94"/>
  <c r="E259" i="94"/>
  <c r="H258" i="94"/>
  <c r="E258" i="94"/>
  <c r="E257" i="94" s="1"/>
  <c r="E256" i="94" s="1"/>
  <c r="E255" i="94" s="1"/>
  <c r="H257" i="94"/>
  <c r="H256" i="94"/>
  <c r="H255" i="94"/>
  <c r="H254" i="94"/>
  <c r="G254" i="94"/>
  <c r="H253" i="94"/>
  <c r="G253" i="94"/>
  <c r="H252" i="94"/>
  <c r="G252" i="94"/>
  <c r="H251" i="94"/>
  <c r="F251" i="94"/>
  <c r="G251" i="94" s="1"/>
  <c r="E251" i="94"/>
  <c r="H250" i="94"/>
  <c r="H249" i="94"/>
  <c r="G249" i="94"/>
  <c r="H248" i="94"/>
  <c r="G248" i="94"/>
  <c r="H247" i="94"/>
  <c r="G247" i="94"/>
  <c r="H246" i="94"/>
  <c r="G246" i="94"/>
  <c r="H245" i="94"/>
  <c r="G245" i="94"/>
  <c r="H244" i="94"/>
  <c r="F244" i="94" s="1"/>
  <c r="G244" i="94" s="1"/>
  <c r="H243" i="94"/>
  <c r="F243" i="94"/>
  <c r="G243" i="94" s="1"/>
  <c r="H242" i="94"/>
  <c r="F242" i="94" s="1"/>
  <c r="G242" i="94" s="1"/>
  <c r="H241" i="94"/>
  <c r="F241" i="94" s="1"/>
  <c r="G241" i="94" s="1"/>
  <c r="H240" i="94"/>
  <c r="F240" i="94"/>
  <c r="G240" i="94" s="1"/>
  <c r="H239" i="94"/>
  <c r="E239" i="94"/>
  <c r="H238" i="94"/>
  <c r="E238" i="94"/>
  <c r="H237" i="94"/>
  <c r="H236" i="94"/>
  <c r="F236" i="94"/>
  <c r="G236" i="94" s="1"/>
  <c r="H235" i="94"/>
  <c r="F235" i="94" s="1"/>
  <c r="G235" i="94" s="1"/>
  <c r="H234" i="94"/>
  <c r="F234" i="94" s="1"/>
  <c r="G234" i="94" s="1"/>
  <c r="H233" i="94"/>
  <c r="F233" i="94" s="1"/>
  <c r="G233" i="94" s="1"/>
  <c r="H232" i="94"/>
  <c r="F232" i="94" s="1"/>
  <c r="H231" i="94"/>
  <c r="F231" i="94" s="1"/>
  <c r="G231" i="94" s="1"/>
  <c r="H230" i="94"/>
  <c r="F230" i="94" s="1"/>
  <c r="G230" i="94" s="1"/>
  <c r="H229" i="94"/>
  <c r="F229" i="94" s="1"/>
  <c r="G229" i="94" s="1"/>
  <c r="H228" i="94"/>
  <c r="F228" i="94"/>
  <c r="G228" i="94" s="1"/>
  <c r="H227" i="94"/>
  <c r="F227" i="94" s="1"/>
  <c r="G227" i="94" s="1"/>
  <c r="H226" i="94"/>
  <c r="F226" i="94" s="1"/>
  <c r="G226" i="94" s="1"/>
  <c r="H225" i="94"/>
  <c r="F225" i="94"/>
  <c r="H224" i="94"/>
  <c r="F224" i="94"/>
  <c r="G224" i="94" s="1"/>
  <c r="H223" i="94"/>
  <c r="E223" i="94"/>
  <c r="H222" i="94"/>
  <c r="H221" i="94"/>
  <c r="F221" i="94" s="1"/>
  <c r="G221" i="94" s="1"/>
  <c r="H220" i="94"/>
  <c r="F220" i="94" s="1"/>
  <c r="G220" i="94" s="1"/>
  <c r="H219" i="94"/>
  <c r="F219" i="94" s="1"/>
  <c r="G219" i="94" s="1"/>
  <c r="H218" i="94"/>
  <c r="F218" i="94" s="1"/>
  <c r="G218" i="94" s="1"/>
  <c r="H217" i="94"/>
  <c r="E217" i="94"/>
  <c r="E216" i="94" s="1"/>
  <c r="E215" i="94" s="1"/>
  <c r="E214" i="94" s="1"/>
  <c r="H216" i="94"/>
  <c r="H215" i="94"/>
  <c r="H214" i="94"/>
  <c r="H213" i="94"/>
  <c r="F213" i="94"/>
  <c r="G213" i="94" s="1"/>
  <c r="H212" i="94"/>
  <c r="F212" i="94" s="1"/>
  <c r="G212" i="94" s="1"/>
  <c r="H211" i="94"/>
  <c r="F211" i="94" s="1"/>
  <c r="G211" i="94" s="1"/>
  <c r="H210" i="94"/>
  <c r="F210" i="94"/>
  <c r="G210" i="94" s="1"/>
  <c r="H209" i="94"/>
  <c r="F209" i="94"/>
  <c r="G209" i="94" s="1"/>
  <c r="H208" i="94"/>
  <c r="F208" i="94" s="1"/>
  <c r="G208" i="94" s="1"/>
  <c r="H207" i="94"/>
  <c r="F207" i="94" s="1"/>
  <c r="G207" i="94" s="1"/>
  <c r="H206" i="94"/>
  <c r="F206" i="94"/>
  <c r="G206" i="94" s="1"/>
  <c r="H205" i="94"/>
  <c r="F205" i="94" s="1"/>
  <c r="G205" i="94" s="1"/>
  <c r="H204" i="94"/>
  <c r="F204" i="94" s="1"/>
  <c r="G204" i="94" s="1"/>
  <c r="H203" i="94"/>
  <c r="F203" i="94" s="1"/>
  <c r="G203" i="94" s="1"/>
  <c r="H202" i="94"/>
  <c r="F202" i="94" s="1"/>
  <c r="G202" i="94" s="1"/>
  <c r="H201" i="94"/>
  <c r="F201" i="94"/>
  <c r="G201" i="94" s="1"/>
  <c r="H200" i="94"/>
  <c r="F200" i="94" s="1"/>
  <c r="G200" i="94" s="1"/>
  <c r="H199" i="94"/>
  <c r="F199" i="94" s="1"/>
  <c r="G199" i="94" s="1"/>
  <c r="H198" i="94"/>
  <c r="F198" i="94" s="1"/>
  <c r="G198" i="94" s="1"/>
  <c r="H197" i="94"/>
  <c r="F197" i="94" s="1"/>
  <c r="G197" i="94" s="1"/>
  <c r="H196" i="94"/>
  <c r="F196" i="94"/>
  <c r="G196" i="94" s="1"/>
  <c r="H195" i="94"/>
  <c r="F195" i="94" s="1"/>
  <c r="G195" i="94" s="1"/>
  <c r="H194" i="94"/>
  <c r="F194" i="94" s="1"/>
  <c r="G194" i="94" s="1"/>
  <c r="H193" i="94"/>
  <c r="F193" i="94" s="1"/>
  <c r="G193" i="94" s="1"/>
  <c r="H192" i="94"/>
  <c r="F192" i="94"/>
  <c r="G192" i="94" s="1"/>
  <c r="H191" i="94"/>
  <c r="F191" i="94" s="1"/>
  <c r="G191" i="94" s="1"/>
  <c r="H190" i="94"/>
  <c r="F190" i="94" s="1"/>
  <c r="G190" i="94" s="1"/>
  <c r="H189" i="94"/>
  <c r="F189" i="94"/>
  <c r="G189" i="94" s="1"/>
  <c r="H188" i="94"/>
  <c r="F188" i="94" s="1"/>
  <c r="G188" i="94" s="1"/>
  <c r="H187" i="94"/>
  <c r="F187" i="94" s="1"/>
  <c r="G187" i="94" s="1"/>
  <c r="H186" i="94"/>
  <c r="F186" i="94" s="1"/>
  <c r="H185" i="94"/>
  <c r="F185" i="94"/>
  <c r="G185" i="94" s="1"/>
  <c r="H184" i="94"/>
  <c r="E184" i="94"/>
  <c r="H183" i="94"/>
  <c r="E183" i="94"/>
  <c r="E182" i="94" s="1"/>
  <c r="E181" i="94" s="1"/>
  <c r="H182" i="94"/>
  <c r="H181" i="94"/>
  <c r="H180" i="94"/>
  <c r="F180" i="94" s="1"/>
  <c r="G180" i="94" s="1"/>
  <c r="H179" i="94"/>
  <c r="F179" i="94" s="1"/>
  <c r="H178" i="94"/>
  <c r="E178" i="94"/>
  <c r="H177" i="94"/>
  <c r="H176" i="94"/>
  <c r="F176" i="94" s="1"/>
  <c r="G176" i="94" s="1"/>
  <c r="H175" i="94"/>
  <c r="F175" i="94" s="1"/>
  <c r="G175" i="94" s="1"/>
  <c r="H174" i="94"/>
  <c r="F174" i="94" s="1"/>
  <c r="G174" i="94" s="1"/>
  <c r="H173" i="94"/>
  <c r="F173" i="94"/>
  <c r="G173" i="94" s="1"/>
  <c r="H172" i="94"/>
  <c r="F172" i="94" s="1"/>
  <c r="G172" i="94" s="1"/>
  <c r="H171" i="94"/>
  <c r="F171" i="94" s="1"/>
  <c r="E171" i="94"/>
  <c r="H170" i="94"/>
  <c r="F170" i="94" s="1"/>
  <c r="G170" i="94" s="1"/>
  <c r="H169" i="94"/>
  <c r="F169" i="94"/>
  <c r="G169" i="94" s="1"/>
  <c r="H168" i="94"/>
  <c r="F168" i="94" s="1"/>
  <c r="G168" i="94" s="1"/>
  <c r="H167" i="94"/>
  <c r="E167" i="94"/>
  <c r="E159" i="94" s="1"/>
  <c r="E158" i="94" s="1"/>
  <c r="E157" i="94" s="1"/>
  <c r="H166" i="94"/>
  <c r="H165" i="94"/>
  <c r="F165" i="94" s="1"/>
  <c r="G165" i="94" s="1"/>
  <c r="H164" i="94"/>
  <c r="F164" i="94" s="1"/>
  <c r="G164" i="94" s="1"/>
  <c r="H163" i="94"/>
  <c r="F163" i="94" s="1"/>
  <c r="G163" i="94" s="1"/>
  <c r="H162" i="94"/>
  <c r="F162" i="94"/>
  <c r="G162" i="94" s="1"/>
  <c r="H161" i="94"/>
  <c r="F161" i="94" s="1"/>
  <c r="G161" i="94" s="1"/>
  <c r="H160" i="94"/>
  <c r="E160" i="94"/>
  <c r="H159" i="94"/>
  <c r="H158" i="94"/>
  <c r="H157" i="94"/>
  <c r="H156" i="94"/>
  <c r="F156" i="94" s="1"/>
  <c r="H155" i="94"/>
  <c r="E155" i="94"/>
  <c r="E154" i="94" s="1"/>
  <c r="E153" i="94" s="1"/>
  <c r="H154" i="94"/>
  <c r="H153" i="94"/>
  <c r="H152" i="94"/>
  <c r="F152" i="94" s="1"/>
  <c r="G152" i="94" s="1"/>
  <c r="H151" i="94"/>
  <c r="F151" i="94"/>
  <c r="G151" i="94" s="1"/>
  <c r="H150" i="94"/>
  <c r="F150" i="94" s="1"/>
  <c r="G150" i="94" s="1"/>
  <c r="H149" i="94"/>
  <c r="E149" i="94"/>
  <c r="E148" i="94" s="1"/>
  <c r="H148" i="94"/>
  <c r="H147" i="94"/>
  <c r="H146" i="94"/>
  <c r="F146" i="94" s="1"/>
  <c r="G146" i="94" s="1"/>
  <c r="H145" i="94"/>
  <c r="F145" i="94" s="1"/>
  <c r="H144" i="94"/>
  <c r="E144" i="94"/>
  <c r="H143" i="94"/>
  <c r="H142" i="94"/>
  <c r="F142" i="94" s="1"/>
  <c r="G142" i="94" s="1"/>
  <c r="H141" i="94"/>
  <c r="F141" i="94" s="1"/>
  <c r="H140" i="94"/>
  <c r="E140" i="94"/>
  <c r="H139" i="94"/>
  <c r="E139" i="94"/>
  <c r="E138" i="94" s="1"/>
  <c r="E137" i="94" s="1"/>
  <c r="H138" i="94"/>
  <c r="H137" i="94"/>
  <c r="H136" i="94"/>
  <c r="F136" i="94" s="1"/>
  <c r="G136" i="94" s="1"/>
  <c r="H135" i="94"/>
  <c r="F135" i="94"/>
  <c r="G135" i="94" s="1"/>
  <c r="H134" i="94"/>
  <c r="F134" i="94" s="1"/>
  <c r="G134" i="94" s="1"/>
  <c r="H133" i="94"/>
  <c r="F133" i="94" s="1"/>
  <c r="G133" i="94" s="1"/>
  <c r="H132" i="94"/>
  <c r="F132" i="94" s="1"/>
  <c r="G132" i="94" s="1"/>
  <c r="H131" i="94"/>
  <c r="F131" i="94"/>
  <c r="G131" i="94" s="1"/>
  <c r="H130" i="94"/>
  <c r="F130" i="94" s="1"/>
  <c r="G130" i="94" s="1"/>
  <c r="H129" i="94"/>
  <c r="F129" i="94" s="1"/>
  <c r="G129" i="94" s="1"/>
  <c r="H128" i="94"/>
  <c r="F128" i="94"/>
  <c r="G128" i="94" s="1"/>
  <c r="H127" i="94"/>
  <c r="F127" i="94" s="1"/>
  <c r="G127" i="94" s="1"/>
  <c r="H126" i="94"/>
  <c r="F126" i="94" s="1"/>
  <c r="G126" i="94" s="1"/>
  <c r="H125" i="94"/>
  <c r="F125" i="94" s="1"/>
  <c r="G125" i="94" s="1"/>
  <c r="H124" i="94"/>
  <c r="F124" i="94"/>
  <c r="G124" i="94" s="1"/>
  <c r="H123" i="94"/>
  <c r="F123" i="94" s="1"/>
  <c r="G123" i="94" s="1"/>
  <c r="H122" i="94"/>
  <c r="F122" i="94" s="1"/>
  <c r="G122" i="94" s="1"/>
  <c r="H121" i="94"/>
  <c r="F121" i="94" s="1"/>
  <c r="G121" i="94" s="1"/>
  <c r="H120" i="94"/>
  <c r="F120" i="94" s="1"/>
  <c r="G120" i="94" s="1"/>
  <c r="H119" i="94"/>
  <c r="F119" i="94"/>
  <c r="G119" i="94" s="1"/>
  <c r="H118" i="94"/>
  <c r="F118" i="94" s="1"/>
  <c r="G118" i="94" s="1"/>
  <c r="H117" i="94"/>
  <c r="F117" i="94" s="1"/>
  <c r="G117" i="94" s="1"/>
  <c r="H116" i="94"/>
  <c r="F116" i="94" s="1"/>
  <c r="G116" i="94" s="1"/>
  <c r="H115" i="94"/>
  <c r="F115" i="94"/>
  <c r="G115" i="94" s="1"/>
  <c r="H114" i="94"/>
  <c r="F114" i="94" s="1"/>
  <c r="G114" i="94" s="1"/>
  <c r="H113" i="94"/>
  <c r="F113" i="94" s="1"/>
  <c r="G113" i="94" s="1"/>
  <c r="H112" i="94"/>
  <c r="F112" i="94"/>
  <c r="G112" i="94" s="1"/>
  <c r="H111" i="94"/>
  <c r="F111" i="94" s="1"/>
  <c r="G111" i="94" s="1"/>
  <c r="H110" i="94"/>
  <c r="F110" i="94" s="1"/>
  <c r="G110" i="94" s="1"/>
  <c r="H109" i="94"/>
  <c r="F109" i="94" s="1"/>
  <c r="G109" i="94" s="1"/>
  <c r="H108" i="94"/>
  <c r="F108" i="94"/>
  <c r="G108" i="94" s="1"/>
  <c r="H107" i="94"/>
  <c r="F107" i="94" s="1"/>
  <c r="G107" i="94" s="1"/>
  <c r="H106" i="94"/>
  <c r="F106" i="94" s="1"/>
  <c r="G106" i="94" s="1"/>
  <c r="H105" i="94"/>
  <c r="F105" i="94" s="1"/>
  <c r="H104" i="94"/>
  <c r="E104" i="94"/>
  <c r="H103" i="94"/>
  <c r="E103" i="94"/>
  <c r="E102" i="94" s="1"/>
  <c r="H102" i="94"/>
  <c r="H101" i="94"/>
  <c r="F101" i="94"/>
  <c r="F100" i="94" s="1"/>
  <c r="G100" i="94" s="1"/>
  <c r="H100" i="94"/>
  <c r="E100" i="94"/>
  <c r="H99" i="94"/>
  <c r="G99" i="94"/>
  <c r="H98" i="94"/>
  <c r="F98" i="94"/>
  <c r="G98" i="94" s="1"/>
  <c r="H97" i="94"/>
  <c r="F97" i="94" s="1"/>
  <c r="F96" i="94" s="1"/>
  <c r="H96" i="94"/>
  <c r="E96" i="94"/>
  <c r="E95" i="94" s="1"/>
  <c r="H95" i="94"/>
  <c r="H94" i="94"/>
  <c r="G94" i="94"/>
  <c r="H93" i="94"/>
  <c r="F93" i="94" s="1"/>
  <c r="H92" i="94"/>
  <c r="E92" i="94"/>
  <c r="H91" i="94"/>
  <c r="G91" i="94"/>
  <c r="H90" i="94"/>
  <c r="F90" i="94" s="1"/>
  <c r="G90" i="94" s="1"/>
  <c r="H89" i="94"/>
  <c r="F89" i="94"/>
  <c r="G89" i="94" s="1"/>
  <c r="H88" i="94"/>
  <c r="F88" i="94" s="1"/>
  <c r="G88" i="94" s="1"/>
  <c r="H87" i="94"/>
  <c r="F87" i="94" s="1"/>
  <c r="G87" i="94" s="1"/>
  <c r="H86" i="94"/>
  <c r="F86" i="94" s="1"/>
  <c r="G86" i="94" s="1"/>
  <c r="H85" i="94"/>
  <c r="F85" i="94"/>
  <c r="G85" i="94" s="1"/>
  <c r="H84" i="94"/>
  <c r="F84" i="94" s="1"/>
  <c r="G84" i="94" s="1"/>
  <c r="H83" i="94"/>
  <c r="F83" i="94" s="1"/>
  <c r="G83" i="94" s="1"/>
  <c r="H82" i="94"/>
  <c r="F82" i="94" s="1"/>
  <c r="H81" i="94"/>
  <c r="E81" i="94"/>
  <c r="H80" i="94"/>
  <c r="H79" i="94"/>
  <c r="F79" i="94" s="1"/>
  <c r="G79" i="94" s="1"/>
  <c r="H78" i="94"/>
  <c r="F78" i="94" s="1"/>
  <c r="G78" i="94" s="1"/>
  <c r="H77" i="94"/>
  <c r="F77" i="94"/>
  <c r="G77" i="94" s="1"/>
  <c r="H76" i="94"/>
  <c r="F76" i="94" s="1"/>
  <c r="H75" i="94"/>
  <c r="E75" i="94"/>
  <c r="H74" i="94"/>
  <c r="H73" i="94"/>
  <c r="H72" i="94"/>
  <c r="H71" i="94"/>
  <c r="F71" i="94" s="1"/>
  <c r="H70" i="94"/>
  <c r="E70" i="94"/>
  <c r="E2605" i="94" s="1"/>
  <c r="H69" i="94"/>
  <c r="H68" i="94"/>
  <c r="F68" i="94"/>
  <c r="G68" i="94" s="1"/>
  <c r="H67" i="94"/>
  <c r="F67" i="94"/>
  <c r="G67" i="94" s="1"/>
  <c r="H66" i="94"/>
  <c r="F66" i="94" s="1"/>
  <c r="G66" i="94" s="1"/>
  <c r="H65" i="94"/>
  <c r="F65" i="94" s="1"/>
  <c r="G65" i="94" s="1"/>
  <c r="H64" i="94"/>
  <c r="F64" i="94"/>
  <c r="G64" i="94" s="1"/>
  <c r="H63" i="94"/>
  <c r="F63" i="94" s="1"/>
  <c r="G63" i="94" s="1"/>
  <c r="H62" i="94"/>
  <c r="F62" i="94" s="1"/>
  <c r="G62" i="94" s="1"/>
  <c r="H61" i="94"/>
  <c r="F61" i="94" s="1"/>
  <c r="G61" i="94" s="1"/>
  <c r="H60" i="94"/>
  <c r="F60" i="94" s="1"/>
  <c r="G60" i="94" s="1"/>
  <c r="H59" i="94"/>
  <c r="F59" i="94" s="1"/>
  <c r="G59" i="94" s="1"/>
  <c r="H58" i="94"/>
  <c r="F58" i="94" s="1"/>
  <c r="H57" i="94"/>
  <c r="E57" i="94"/>
  <c r="H56" i="94"/>
  <c r="H55" i="94"/>
  <c r="F55" i="94" s="1"/>
  <c r="G55" i="94" s="1"/>
  <c r="H54" i="94"/>
  <c r="F54" i="94" s="1"/>
  <c r="G54" i="94" s="1"/>
  <c r="H53" i="94"/>
  <c r="F53" i="94" s="1"/>
  <c r="G53" i="94" s="1"/>
  <c r="H52" i="94"/>
  <c r="F52" i="94"/>
  <c r="G52" i="94" s="1"/>
  <c r="H51" i="94"/>
  <c r="F51" i="94" s="1"/>
  <c r="H50" i="94"/>
  <c r="E50" i="94"/>
  <c r="E49" i="94" s="1"/>
  <c r="E48" i="94" s="1"/>
  <c r="E47" i="94" s="1"/>
  <c r="H49" i="94"/>
  <c r="H48" i="94"/>
  <c r="H47" i="94"/>
  <c r="H46" i="94"/>
  <c r="F46" i="94" s="1"/>
  <c r="H45" i="94"/>
  <c r="E45" i="94"/>
  <c r="E44" i="94" s="1"/>
  <c r="H44" i="94"/>
  <c r="H43" i="94"/>
  <c r="H42" i="94"/>
  <c r="F42" i="94" s="1"/>
  <c r="H41" i="94"/>
  <c r="E41" i="94"/>
  <c r="H40" i="94"/>
  <c r="H39" i="94"/>
  <c r="F39" i="94" s="1"/>
  <c r="G39" i="94" s="1"/>
  <c r="H38" i="94"/>
  <c r="F38" i="94" s="1"/>
  <c r="G38" i="94" s="1"/>
  <c r="H37" i="94"/>
  <c r="F37" i="94" s="1"/>
  <c r="G37" i="94" s="1"/>
  <c r="H36" i="94"/>
  <c r="F36" i="94" s="1"/>
  <c r="G36" i="94" s="1"/>
  <c r="H35" i="94"/>
  <c r="F35" i="94" s="1"/>
  <c r="G35" i="94" s="1"/>
  <c r="H34" i="94"/>
  <c r="F34" i="94" s="1"/>
  <c r="G34" i="94" s="1"/>
  <c r="H33" i="94"/>
  <c r="F33" i="94"/>
  <c r="G33" i="94" s="1"/>
  <c r="H32" i="94"/>
  <c r="F32" i="94" s="1"/>
  <c r="G32" i="94" s="1"/>
  <c r="H31" i="94"/>
  <c r="F31" i="94" s="1"/>
  <c r="G31" i="94" s="1"/>
  <c r="H30" i="94"/>
  <c r="F30" i="94"/>
  <c r="G30" i="94" s="1"/>
  <c r="H29" i="94"/>
  <c r="F29" i="94"/>
  <c r="G29" i="94" s="1"/>
  <c r="H28" i="94"/>
  <c r="F28" i="94" s="1"/>
  <c r="G28" i="94" s="1"/>
  <c r="H27" i="94"/>
  <c r="F27" i="94" s="1"/>
  <c r="G27" i="94" s="1"/>
  <c r="H26" i="94"/>
  <c r="F26" i="94"/>
  <c r="G26" i="94" s="1"/>
  <c r="H25" i="94"/>
  <c r="F25" i="94" s="1"/>
  <c r="G25" i="94" s="1"/>
  <c r="H24" i="94"/>
  <c r="F24" i="94" s="1"/>
  <c r="G24" i="94" s="1"/>
  <c r="H23" i="94"/>
  <c r="F23" i="94" s="1"/>
  <c r="G23" i="94" s="1"/>
  <c r="H22" i="94"/>
  <c r="F22" i="94" s="1"/>
  <c r="G22" i="94" s="1"/>
  <c r="H21" i="94"/>
  <c r="E21" i="94"/>
  <c r="H20" i="94"/>
  <c r="F20" i="94"/>
  <c r="G20" i="94" s="1"/>
  <c r="H19" i="94"/>
  <c r="F19" i="94" s="1"/>
  <c r="G19" i="94" s="1"/>
  <c r="H18" i="94"/>
  <c r="F18" i="94" s="1"/>
  <c r="G18" i="94" s="1"/>
  <c r="H17" i="94"/>
  <c r="F17" i="94"/>
  <c r="G17" i="94" s="1"/>
  <c r="H16" i="94"/>
  <c r="F16" i="94" s="1"/>
  <c r="G16" i="94" s="1"/>
  <c r="H15" i="94"/>
  <c r="F15" i="94" s="1"/>
  <c r="E14" i="94"/>
  <c r="E13" i="94" s="1"/>
  <c r="E12" i="94" s="1"/>
  <c r="E11" i="94" s="1"/>
  <c r="AE10" i="94"/>
  <c r="AE2597" i="94" s="1"/>
  <c r="AD10" i="94"/>
  <c r="AD2597" i="94" s="1"/>
  <c r="AC10" i="94"/>
  <c r="AC2597" i="94" s="1"/>
  <c r="AB10" i="94"/>
  <c r="AB2597" i="94" s="1"/>
  <c r="Z10" i="94"/>
  <c r="Z2597" i="94" s="1"/>
  <c r="Y10" i="94"/>
  <c r="Y2597" i="94" s="1"/>
  <c r="X10" i="94"/>
  <c r="X2597" i="94" s="1"/>
  <c r="W10" i="94"/>
  <c r="W2597" i="94" s="1"/>
  <c r="V10" i="94"/>
  <c r="V2597" i="94" s="1"/>
  <c r="U10" i="94"/>
  <c r="U2597" i="94" s="1"/>
  <c r="T10" i="94"/>
  <c r="T2597" i="94" s="1"/>
  <c r="S10" i="94"/>
  <c r="Q10" i="94"/>
  <c r="P10" i="94"/>
  <c r="P2597" i="94" s="1"/>
  <c r="O10" i="94"/>
  <c r="O2597" i="94" s="1"/>
  <c r="N10" i="94"/>
  <c r="M10" i="94"/>
  <c r="L10" i="94"/>
  <c r="L2597" i="94" s="1"/>
  <c r="K10" i="94"/>
  <c r="J10" i="94"/>
  <c r="I10" i="94"/>
  <c r="E340" i="94" l="1"/>
  <c r="F265" i="94"/>
  <c r="G265" i="94" s="1"/>
  <c r="G266" i="94"/>
  <c r="G323" i="94"/>
  <c r="F322" i="94"/>
  <c r="G322" i="94" s="1"/>
  <c r="G93" i="94"/>
  <c r="F92" i="94"/>
  <c r="G92" i="94" s="1"/>
  <c r="G411" i="94"/>
  <c r="F410" i="94"/>
  <c r="F409" i="94" s="1"/>
  <c r="G409" i="94" s="1"/>
  <c r="E294" i="94"/>
  <c r="F414" i="94"/>
  <c r="G415" i="94"/>
  <c r="F813" i="94"/>
  <c r="G813" i="94" s="1"/>
  <c r="G814" i="94"/>
  <c r="F1065" i="94"/>
  <c r="G1065" i="94" s="1"/>
  <c r="G1066" i="94"/>
  <c r="G101" i="94"/>
  <c r="G299" i="94"/>
  <c r="G324" i="94"/>
  <c r="F803" i="94"/>
  <c r="G803" i="94" s="1"/>
  <c r="G804" i="94"/>
  <c r="F1190" i="94"/>
  <c r="G1190" i="94" s="1"/>
  <c r="G1191" i="94"/>
  <c r="E666" i="94"/>
  <c r="E665" i="94" s="1"/>
  <c r="AA10" i="94"/>
  <c r="AA2597" i="94" s="1"/>
  <c r="H2597" i="94" s="1"/>
  <c r="G171" i="94"/>
  <c r="E582" i="94"/>
  <c r="E581" i="94" s="1"/>
  <c r="F723" i="94"/>
  <c r="G723" i="94" s="1"/>
  <c r="G724" i="94"/>
  <c r="F1206" i="94"/>
  <c r="F1205" i="94" s="1"/>
  <c r="G1205" i="94" s="1"/>
  <c r="G1207" i="94"/>
  <c r="E74" i="94"/>
  <c r="E73" i="94" s="1"/>
  <c r="E72" i="94" s="1"/>
  <c r="E10" i="94" s="1"/>
  <c r="F283" i="94"/>
  <c r="F422" i="94"/>
  <c r="F450" i="94"/>
  <c r="G450" i="94" s="1"/>
  <c r="F567" i="94"/>
  <c r="F566" i="94" s="1"/>
  <c r="G566" i="94" s="1"/>
  <c r="F1177" i="94"/>
  <c r="F1176" i="94" s="1"/>
  <c r="F1175" i="94" s="1"/>
  <c r="F1174" i="94" s="1"/>
  <c r="F1173" i="94" s="1"/>
  <c r="G1254" i="94"/>
  <c r="F1253" i="94"/>
  <c r="G1253" i="94" s="1"/>
  <c r="G1387" i="94"/>
  <c r="F1383" i="94"/>
  <c r="G1383" i="94" s="1"/>
  <c r="E502" i="94"/>
  <c r="E501" i="94" s="1"/>
  <c r="F655" i="94"/>
  <c r="E721" i="94"/>
  <c r="E720" i="94" s="1"/>
  <c r="E706" i="94" s="1"/>
  <c r="E1006" i="94"/>
  <c r="F1198" i="94"/>
  <c r="G1198" i="94" s="1"/>
  <c r="E1215" i="94"/>
  <c r="F1288" i="94"/>
  <c r="G1288" i="94" s="1"/>
  <c r="E1303" i="94"/>
  <c r="E1302" i="94" s="1"/>
  <c r="E1301" i="94" s="1"/>
  <c r="F1701" i="94"/>
  <c r="G1701" i="94" s="1"/>
  <c r="G1702" i="94"/>
  <c r="E830" i="94"/>
  <c r="E821" i="94" s="1"/>
  <c r="E820" i="94" s="1"/>
  <c r="E819" i="94" s="1"/>
  <c r="G1056" i="94"/>
  <c r="E1188" i="94"/>
  <c r="E1180" i="94" s="1"/>
  <c r="F1418" i="94"/>
  <c r="G1418" i="94" s="1"/>
  <c r="F1647" i="94"/>
  <c r="G1647" i="94" s="1"/>
  <c r="G1648" i="94"/>
  <c r="G1651" i="94"/>
  <c r="F1650" i="94"/>
  <c r="G1650" i="94" s="1"/>
  <c r="F1796" i="94"/>
  <c r="G1796" i="94" s="1"/>
  <c r="G1797" i="94"/>
  <c r="E936" i="94"/>
  <c r="E935" i="94" s="1"/>
  <c r="F1043" i="94"/>
  <c r="G1687" i="94"/>
  <c r="F1686" i="94"/>
  <c r="F1750" i="94"/>
  <c r="G1750" i="94" s="1"/>
  <c r="G1751" i="94"/>
  <c r="F1770" i="94"/>
  <c r="G1770" i="94" s="1"/>
  <c r="G1771" i="94"/>
  <c r="G1818" i="94"/>
  <c r="F1817" i="94"/>
  <c r="G1817" i="94" s="1"/>
  <c r="E443" i="94"/>
  <c r="F616" i="94"/>
  <c r="F662" i="94"/>
  <c r="G662" i="94" s="1"/>
  <c r="E687" i="94"/>
  <c r="E686" i="94" s="1"/>
  <c r="E698" i="94"/>
  <c r="E783" i="94"/>
  <c r="E782" i="94" s="1"/>
  <c r="G837" i="94"/>
  <c r="G889" i="94"/>
  <c r="G891" i="94"/>
  <c r="G1057" i="94"/>
  <c r="G1087" i="94"/>
  <c r="G1111" i="94"/>
  <c r="G1127" i="94"/>
  <c r="E1137" i="94"/>
  <c r="E1136" i="94" s="1"/>
  <c r="F1234" i="94"/>
  <c r="G1234" i="94" s="1"/>
  <c r="E1261" i="94"/>
  <c r="F1503" i="94"/>
  <c r="G1503" i="94" s="1"/>
  <c r="F1605" i="94"/>
  <c r="G1605" i="94" s="1"/>
  <c r="G1606" i="94"/>
  <c r="F1654" i="94"/>
  <c r="E1656" i="94"/>
  <c r="E1722" i="94"/>
  <c r="E1721" i="94" s="1"/>
  <c r="E1492" i="94"/>
  <c r="E1491" i="94" s="1"/>
  <c r="E1490" i="94" s="1"/>
  <c r="E1611" i="94"/>
  <c r="E1610" i="94" s="1"/>
  <c r="E1597" i="94" s="1"/>
  <c r="E1673" i="94"/>
  <c r="E1672" i="94" s="1"/>
  <c r="E1694" i="94"/>
  <c r="E1693" i="94" s="1"/>
  <c r="G2009" i="94"/>
  <c r="F2022" i="94"/>
  <c r="G2022" i="94" s="1"/>
  <c r="F2068" i="94"/>
  <c r="G2068" i="94" s="1"/>
  <c r="F2283" i="94"/>
  <c r="G2283" i="94" s="1"/>
  <c r="G2284" i="94"/>
  <c r="F2406" i="94"/>
  <c r="F2546" i="94"/>
  <c r="G2546" i="94" s="1"/>
  <c r="F2553" i="94"/>
  <c r="G2553" i="94" s="1"/>
  <c r="G2554" i="94"/>
  <c r="F2595" i="94"/>
  <c r="E1626" i="94"/>
  <c r="E1625" i="94" s="1"/>
  <c r="E1760" i="94"/>
  <c r="E1759" i="94" s="1"/>
  <c r="E1747" i="94" s="1"/>
  <c r="E2046" i="94"/>
  <c r="F2222" i="94"/>
  <c r="G2222" i="94" s="1"/>
  <c r="G2223" i="94"/>
  <c r="G2239" i="94"/>
  <c r="F2238" i="94"/>
  <c r="G2250" i="94"/>
  <c r="F2249" i="94"/>
  <c r="G2249" i="94" s="1"/>
  <c r="F1522" i="94"/>
  <c r="G1522" i="94" s="1"/>
  <c r="E1924" i="94"/>
  <c r="E1923" i="94" s="1"/>
  <c r="F2268" i="94"/>
  <c r="G2268" i="94" s="1"/>
  <c r="G2269" i="94"/>
  <c r="G2295" i="94"/>
  <c r="F2294" i="94"/>
  <c r="G2294" i="94" s="1"/>
  <c r="E2293" i="94"/>
  <c r="E2292" i="94" s="1"/>
  <c r="E2291" i="94" s="1"/>
  <c r="F2309" i="94"/>
  <c r="G2311" i="94"/>
  <c r="F2321" i="94"/>
  <c r="G2321" i="94" s="1"/>
  <c r="G2342" i="94"/>
  <c r="F2341" i="94"/>
  <c r="G2341" i="94" s="1"/>
  <c r="F2391" i="94"/>
  <c r="G2391" i="94" s="1"/>
  <c r="F2450" i="94"/>
  <c r="G2457" i="94"/>
  <c r="F2565" i="94"/>
  <c r="G2566" i="94"/>
  <c r="E2568" i="94"/>
  <c r="E2567" i="94" s="1"/>
  <c r="G1961" i="94"/>
  <c r="G1963" i="94"/>
  <c r="G1965" i="94"/>
  <c r="G1967" i="94"/>
  <c r="G1969" i="94"/>
  <c r="G1971" i="94"/>
  <c r="G1973" i="94"/>
  <c r="G1975" i="94"/>
  <c r="G1977" i="94"/>
  <c r="G1979" i="94"/>
  <c r="G1981" i="94"/>
  <c r="G1983" i="94"/>
  <c r="G1996" i="94"/>
  <c r="G1998" i="94"/>
  <c r="G2000" i="94"/>
  <c r="F2043" i="94"/>
  <c r="E2095" i="94"/>
  <c r="E2094" i="94" s="1"/>
  <c r="G2370" i="94"/>
  <c r="E2449" i="94"/>
  <c r="E2448" i="94" s="1"/>
  <c r="E2447" i="94" s="1"/>
  <c r="E2335" i="94"/>
  <c r="E2353" i="94"/>
  <c r="E2455" i="94"/>
  <c r="F2464" i="94"/>
  <c r="G2464" i="94" s="1"/>
  <c r="E2506" i="94"/>
  <c r="E2505" i="94" s="1"/>
  <c r="E2500" i="94" s="1"/>
  <c r="G1962" i="94"/>
  <c r="G1964" i="94"/>
  <c r="G1966" i="94"/>
  <c r="G1968" i="94"/>
  <c r="G1970" i="94"/>
  <c r="G1972" i="94"/>
  <c r="G1974" i="94"/>
  <c r="G1976" i="94"/>
  <c r="G1978" i="94"/>
  <c r="G1980" i="94"/>
  <c r="G1982" i="94"/>
  <c r="G1984" i="94"/>
  <c r="G1995" i="94"/>
  <c r="G1997" i="94"/>
  <c r="G1999" i="94"/>
  <c r="E2014" i="94"/>
  <c r="E2314" i="94"/>
  <c r="E2313" i="94" s="1"/>
  <c r="E2371" i="94"/>
  <c r="F947" i="94"/>
  <c r="G947" i="94" s="1"/>
  <c r="G51" i="94"/>
  <c r="F50" i="94"/>
  <c r="G272" i="94"/>
  <c r="F271" i="94"/>
  <c r="G302" i="94"/>
  <c r="F301" i="94"/>
  <c r="F311" i="94"/>
  <c r="G311" i="94" s="1"/>
  <c r="G313" i="94"/>
  <c r="G419" i="94"/>
  <c r="F418" i="94"/>
  <c r="G438" i="94"/>
  <c r="F437" i="94"/>
  <c r="G437" i="94" s="1"/>
  <c r="G460" i="94"/>
  <c r="F459" i="94"/>
  <c r="G42" i="94"/>
  <c r="F41" i="94"/>
  <c r="G41" i="94" s="1"/>
  <c r="F184" i="94"/>
  <c r="G186" i="94"/>
  <c r="F223" i="94"/>
  <c r="G223" i="94" s="1"/>
  <c r="F277" i="94"/>
  <c r="G277" i="94" s="1"/>
  <c r="G279" i="94"/>
  <c r="F289" i="94"/>
  <c r="G297" i="94"/>
  <c r="F296" i="94"/>
  <c r="G336" i="94"/>
  <c r="F335" i="94"/>
  <c r="G384" i="94"/>
  <c r="F383" i="94"/>
  <c r="G397" i="94"/>
  <c r="F396" i="94"/>
  <c r="G396" i="94" s="1"/>
  <c r="G433" i="94"/>
  <c r="F432" i="94"/>
  <c r="G436" i="94"/>
  <c r="F435" i="94"/>
  <c r="G435" i="94" s="1"/>
  <c r="G76" i="94"/>
  <c r="F75" i="94"/>
  <c r="G283" i="94"/>
  <c r="F282" i="94"/>
  <c r="G282" i="94" s="1"/>
  <c r="G338" i="94"/>
  <c r="F337" i="94"/>
  <c r="G337" i="94" s="1"/>
  <c r="G463" i="94"/>
  <c r="F462" i="94"/>
  <c r="G462" i="94" s="1"/>
  <c r="G71" i="94"/>
  <c r="F70" i="94"/>
  <c r="G70" i="94" s="1"/>
  <c r="G82" i="94"/>
  <c r="F81" i="94"/>
  <c r="G81" i="94" s="1"/>
  <c r="G141" i="94"/>
  <c r="F140" i="94"/>
  <c r="F326" i="94"/>
  <c r="G328" i="94"/>
  <c r="G544" i="94"/>
  <c r="F543" i="94"/>
  <c r="G553" i="94"/>
  <c r="F551" i="94"/>
  <c r="G96" i="94"/>
  <c r="F95" i="94"/>
  <c r="G95" i="94" s="1"/>
  <c r="G512" i="94"/>
  <c r="F511" i="94"/>
  <c r="G511" i="94" s="1"/>
  <c r="F14" i="94"/>
  <c r="G15" i="94"/>
  <c r="G105" i="94"/>
  <c r="F104" i="94"/>
  <c r="G46" i="94"/>
  <c r="F45" i="94"/>
  <c r="G58" i="94"/>
  <c r="F57" i="94"/>
  <c r="G57" i="94" s="1"/>
  <c r="G145" i="94"/>
  <c r="F144" i="94"/>
  <c r="G156" i="94"/>
  <c r="F155" i="94"/>
  <c r="G179" i="94"/>
  <c r="F178" i="94"/>
  <c r="G178" i="94" s="1"/>
  <c r="F351" i="94"/>
  <c r="G351" i="94" s="1"/>
  <c r="G353" i="94"/>
  <c r="G377" i="94"/>
  <c r="F376" i="94"/>
  <c r="G376" i="94" s="1"/>
  <c r="G380" i="94"/>
  <c r="F379" i="94"/>
  <c r="G379" i="94" s="1"/>
  <c r="G414" i="94"/>
  <c r="F413" i="94"/>
  <c r="G413" i="94" s="1"/>
  <c r="E466" i="94"/>
  <c r="E465" i="94" s="1"/>
  <c r="G474" i="94"/>
  <c r="E2602" i="94"/>
  <c r="E2610" i="94"/>
  <c r="E2609" i="94" s="1"/>
  <c r="E2604" i="94"/>
  <c r="F149" i="94"/>
  <c r="F160" i="94"/>
  <c r="G160" i="94" s="1"/>
  <c r="F167" i="94"/>
  <c r="F343" i="94"/>
  <c r="G440" i="94"/>
  <c r="F444" i="94"/>
  <c r="G456" i="94"/>
  <c r="F468" i="94"/>
  <c r="G475" i="94"/>
  <c r="F477" i="94"/>
  <c r="G477" i="94" s="1"/>
  <c r="F585" i="94"/>
  <c r="G590" i="94"/>
  <c r="G1043" i="94"/>
  <c r="G499" i="94"/>
  <c r="F498" i="94"/>
  <c r="G521" i="94"/>
  <c r="F520" i="94"/>
  <c r="G520" i="94" s="1"/>
  <c r="G567" i="94"/>
  <c r="G575" i="94"/>
  <c r="F574" i="94"/>
  <c r="G622" i="94"/>
  <c r="F621" i="94"/>
  <c r="F629" i="94"/>
  <c r="G629" i="94" s="1"/>
  <c r="G631" i="94"/>
  <c r="F21" i="94"/>
  <c r="F217" i="94"/>
  <c r="G225" i="94"/>
  <c r="F239" i="94"/>
  <c r="F259" i="94"/>
  <c r="G410" i="94"/>
  <c r="E442" i="94"/>
  <c r="E441" i="94" s="1"/>
  <c r="F503" i="94"/>
  <c r="G427" i="94"/>
  <c r="F426" i="94"/>
  <c r="E500" i="94"/>
  <c r="G524" i="94"/>
  <c r="F523" i="94"/>
  <c r="G523" i="94" s="1"/>
  <c r="G564" i="94"/>
  <c r="F563" i="94"/>
  <c r="G563" i="94" s="1"/>
  <c r="G579" i="94"/>
  <c r="F578" i="94"/>
  <c r="G595" i="94"/>
  <c r="F593" i="94"/>
  <c r="G593" i="94" s="1"/>
  <c r="F647" i="94"/>
  <c r="G647" i="94" s="1"/>
  <c r="G649" i="94"/>
  <c r="G684" i="94"/>
  <c r="F713" i="94"/>
  <c r="G798" i="94"/>
  <c r="F797" i="94"/>
  <c r="G797" i="94" s="1"/>
  <c r="F816" i="94"/>
  <c r="G816" i="94" s="1"/>
  <c r="G831" i="94"/>
  <c r="F830" i="94"/>
  <c r="G830" i="94" s="1"/>
  <c r="G859" i="94"/>
  <c r="F858" i="94"/>
  <c r="G858" i="94" s="1"/>
  <c r="G927" i="94"/>
  <c r="F926" i="94"/>
  <c r="F931" i="94"/>
  <c r="G931" i="94" s="1"/>
  <c r="G938" i="94"/>
  <c r="F937" i="94"/>
  <c r="E934" i="94"/>
  <c r="F952" i="94"/>
  <c r="G952" i="94" s="1"/>
  <c r="G1025" i="94"/>
  <c r="F1024" i="94"/>
  <c r="E1051" i="94"/>
  <c r="E1042" i="94" s="1"/>
  <c r="E1041" i="94" s="1"/>
  <c r="E1040" i="94" s="1"/>
  <c r="G1060" i="94"/>
  <c r="G1062" i="94"/>
  <c r="G1113" i="94"/>
  <c r="G1147" i="94"/>
  <c r="E1158" i="94"/>
  <c r="E2611" i="94" s="1"/>
  <c r="F1189" i="94"/>
  <c r="F1197" i="94"/>
  <c r="G1226" i="94"/>
  <c r="F1225" i="94"/>
  <c r="G1297" i="94"/>
  <c r="F1296" i="94"/>
  <c r="G1305" i="94"/>
  <c r="F1304" i="94"/>
  <c r="G670" i="94"/>
  <c r="F669" i="94"/>
  <c r="F687" i="94"/>
  <c r="G700" i="94"/>
  <c r="G719" i="94"/>
  <c r="F718" i="94"/>
  <c r="G718" i="94" s="1"/>
  <c r="G733" i="94"/>
  <c r="F732" i="94"/>
  <c r="G732" i="94" s="1"/>
  <c r="G779" i="94"/>
  <c r="F778" i="94"/>
  <c r="G778" i="94" s="1"/>
  <c r="G823" i="94"/>
  <c r="F822" i="94"/>
  <c r="G913" i="94"/>
  <c r="F912" i="94"/>
  <c r="G912" i="94" s="1"/>
  <c r="G1079" i="94"/>
  <c r="E1072" i="94"/>
  <c r="E2606" i="94" s="1"/>
  <c r="F1137" i="94"/>
  <c r="F1158" i="94"/>
  <c r="G1158" i="94" s="1"/>
  <c r="G1203" i="94"/>
  <c r="F1202" i="94"/>
  <c r="F1213" i="94"/>
  <c r="E1405" i="94"/>
  <c r="F698" i="94"/>
  <c r="G698" i="94" s="1"/>
  <c r="F726" i="94"/>
  <c r="G726" i="94" s="1"/>
  <c r="F771" i="94"/>
  <c r="G771" i="94" s="1"/>
  <c r="G786" i="94"/>
  <c r="F785" i="94"/>
  <c r="G794" i="94"/>
  <c r="F793" i="94"/>
  <c r="G793" i="94" s="1"/>
  <c r="G832" i="94"/>
  <c r="G922" i="94"/>
  <c r="F921" i="94"/>
  <c r="G957" i="94"/>
  <c r="F956" i="94"/>
  <c r="G956" i="94" s="1"/>
  <c r="G1010" i="94"/>
  <c r="F1009" i="94"/>
  <c r="G1031" i="94"/>
  <c r="F1030" i="94"/>
  <c r="G1030" i="94" s="1"/>
  <c r="G1052" i="94"/>
  <c r="F1051" i="94"/>
  <c r="F1042" i="94" s="1"/>
  <c r="G1059" i="94"/>
  <c r="G1061" i="94"/>
  <c r="G1195" i="94"/>
  <c r="F1194" i="94"/>
  <c r="G1222" i="94"/>
  <c r="F1221" i="94"/>
  <c r="G1221" i="94" s="1"/>
  <c r="G1245" i="94"/>
  <c r="F1244" i="94"/>
  <c r="G1264" i="94"/>
  <c r="F1262" i="94"/>
  <c r="F1310" i="94"/>
  <c r="G1310" i="94" s="1"/>
  <c r="G710" i="94"/>
  <c r="F709" i="94"/>
  <c r="F806" i="94"/>
  <c r="G856" i="94"/>
  <c r="F855" i="94"/>
  <c r="G855" i="94" s="1"/>
  <c r="G904" i="94"/>
  <c r="F903" i="94"/>
  <c r="G945" i="94"/>
  <c r="G995" i="94"/>
  <c r="F994" i="94"/>
  <c r="G1002" i="94"/>
  <c r="F1001" i="94"/>
  <c r="G1001" i="94" s="1"/>
  <c r="G1013" i="94"/>
  <c r="F1012" i="94"/>
  <c r="G1012" i="94" s="1"/>
  <c r="G1020" i="94"/>
  <c r="F1019" i="94"/>
  <c r="G1039" i="94"/>
  <c r="F1038" i="94"/>
  <c r="G1038" i="94" s="1"/>
  <c r="G1070" i="94"/>
  <c r="F1069" i="94"/>
  <c r="G1069" i="94" s="1"/>
  <c r="G1073" i="94"/>
  <c r="F1072" i="94"/>
  <c r="G1072" i="94" s="1"/>
  <c r="G1155" i="94"/>
  <c r="G1187" i="94"/>
  <c r="F1186" i="94"/>
  <c r="G1211" i="94"/>
  <c r="F1210" i="94"/>
  <c r="G1219" i="94"/>
  <c r="F1218" i="94"/>
  <c r="F1229" i="94"/>
  <c r="G1230" i="94"/>
  <c r="G1258" i="94"/>
  <c r="F1257" i="94"/>
  <c r="G1292" i="94"/>
  <c r="F1291" i="94"/>
  <c r="G1291" i="94" s="1"/>
  <c r="G1312" i="94"/>
  <c r="F1298" i="94"/>
  <c r="G1298" i="94" s="1"/>
  <c r="G1249" i="94"/>
  <c r="F1248" i="94"/>
  <c r="G1336" i="94"/>
  <c r="F1335" i="94"/>
  <c r="G1335" i="94" s="1"/>
  <c r="G1347" i="94"/>
  <c r="F1346" i="94"/>
  <c r="G1380" i="94"/>
  <c r="F1379" i="94"/>
  <c r="G1379" i="94" s="1"/>
  <c r="G1409" i="94"/>
  <c r="F1408" i="94"/>
  <c r="G1436" i="94"/>
  <c r="F1435" i="94"/>
  <c r="G1435" i="94" s="1"/>
  <c r="F1553" i="94"/>
  <c r="G1553" i="94" s="1"/>
  <c r="G1554" i="94"/>
  <c r="F1608" i="94"/>
  <c r="G1608" i="94" s="1"/>
  <c r="G1609" i="94"/>
  <c r="G1667" i="94"/>
  <c r="F1666" i="94"/>
  <c r="G1697" i="94"/>
  <c r="F1696" i="94"/>
  <c r="G1809" i="94"/>
  <c r="F1808" i="94"/>
  <c r="F1813" i="94"/>
  <c r="G1815" i="94"/>
  <c r="G2122" i="94"/>
  <c r="F2121" i="94"/>
  <c r="F1252" i="94"/>
  <c r="G1311" i="94"/>
  <c r="G1317" i="94"/>
  <c r="F1316" i="94"/>
  <c r="G1316" i="94" s="1"/>
  <c r="F1321" i="94"/>
  <c r="G1327" i="94"/>
  <c r="F1326" i="94"/>
  <c r="E1344" i="94"/>
  <c r="E1343" i="94" s="1"/>
  <c r="G1403" i="94"/>
  <c r="F1402" i="94"/>
  <c r="G1482" i="94"/>
  <c r="F1481" i="94"/>
  <c r="F1539" i="94"/>
  <c r="G1539" i="94" s="1"/>
  <c r="G1543" i="94"/>
  <c r="F1569" i="94"/>
  <c r="G1569" i="94" s="1"/>
  <c r="G1679" i="94"/>
  <c r="F1678" i="94"/>
  <c r="G1678" i="94" s="1"/>
  <c r="G1273" i="94"/>
  <c r="F1272" i="94"/>
  <c r="G1272" i="94" s="1"/>
  <c r="F1356" i="94"/>
  <c r="G1356" i="94" s="1"/>
  <c r="G1358" i="94"/>
  <c r="G1488" i="94"/>
  <c r="F1487" i="94"/>
  <c r="G1487" i="94" s="1"/>
  <c r="G1494" i="94"/>
  <c r="F1493" i="94"/>
  <c r="F1532" i="94"/>
  <c r="F1582" i="94"/>
  <c r="G1582" i="94" s="1"/>
  <c r="G1583" i="94"/>
  <c r="G1686" i="94"/>
  <c r="F1685" i="94"/>
  <c r="G1710" i="94"/>
  <c r="F1709" i="94"/>
  <c r="G1755" i="94"/>
  <c r="F1754" i="94"/>
  <c r="G1801" i="94"/>
  <c r="F1800" i="94"/>
  <c r="G1828" i="94"/>
  <c r="F1826" i="94"/>
  <c r="E2612" i="94"/>
  <c r="G1206" i="94"/>
  <c r="E1260" i="94"/>
  <c r="E1259" i="94" s="1"/>
  <c r="E1250" i="94" s="1"/>
  <c r="G1377" i="94"/>
  <c r="F1376" i="94"/>
  <c r="G1376" i="94" s="1"/>
  <c r="G1433" i="94"/>
  <c r="F1432" i="94"/>
  <c r="G1432" i="94" s="1"/>
  <c r="G1602" i="94"/>
  <c r="F1601" i="94"/>
  <c r="G1735" i="94"/>
  <c r="F1734" i="94"/>
  <c r="G1734" i="94" s="1"/>
  <c r="F1525" i="94"/>
  <c r="G1525" i="94" s="1"/>
  <c r="F1547" i="94"/>
  <c r="F1616" i="94"/>
  <c r="F1636" i="94"/>
  <c r="G1659" i="94"/>
  <c r="F1658" i="94"/>
  <c r="G1663" i="94"/>
  <c r="F1662" i="94"/>
  <c r="G1692" i="94"/>
  <c r="F1691" i="94"/>
  <c r="G1715" i="94"/>
  <c r="F1714" i="94"/>
  <c r="G1741" i="94"/>
  <c r="F1740" i="94"/>
  <c r="G1758" i="94"/>
  <c r="F1757" i="94"/>
  <c r="F1833" i="94"/>
  <c r="G1833" i="94" s="1"/>
  <c r="G2051" i="94"/>
  <c r="F2050" i="94"/>
  <c r="G1564" i="94"/>
  <c r="F1563" i="94"/>
  <c r="G1588" i="94"/>
  <c r="F1587" i="94"/>
  <c r="G1587" i="94" s="1"/>
  <c r="G1593" i="94"/>
  <c r="F1592" i="94"/>
  <c r="G1622" i="94"/>
  <c r="F1621" i="94"/>
  <c r="G1629" i="94"/>
  <c r="F1628" i="94"/>
  <c r="G1643" i="94"/>
  <c r="F1642" i="94"/>
  <c r="F2612" i="94" s="1"/>
  <c r="G2612" i="94" s="1"/>
  <c r="G1671" i="94"/>
  <c r="F1670" i="94"/>
  <c r="G1725" i="94"/>
  <c r="F1724" i="94"/>
  <c r="G1728" i="94"/>
  <c r="F1727" i="94"/>
  <c r="G1727" i="94" s="1"/>
  <c r="G1731" i="94"/>
  <c r="F1730" i="94"/>
  <c r="G1730" i="94" s="1"/>
  <c r="G1745" i="94"/>
  <c r="F1744" i="94"/>
  <c r="G1744" i="94" s="1"/>
  <c r="G1763" i="94"/>
  <c r="F1762" i="94"/>
  <c r="G1805" i="94"/>
  <c r="F1804" i="94"/>
  <c r="G1823" i="94"/>
  <c r="F1822" i="94"/>
  <c r="G1960" i="94"/>
  <c r="F1959" i="94"/>
  <c r="G1959" i="94" s="1"/>
  <c r="G2004" i="94"/>
  <c r="F2003" i="94"/>
  <c r="E1561" i="94"/>
  <c r="E1560" i="94" s="1"/>
  <c r="G1575" i="94"/>
  <c r="F1574" i="94"/>
  <c r="G1574" i="94" s="1"/>
  <c r="G1632" i="94"/>
  <c r="F1631" i="94"/>
  <c r="G1631" i="94" s="1"/>
  <c r="F1646" i="94"/>
  <c r="G1676" i="94"/>
  <c r="F1675" i="94"/>
  <c r="G1683" i="94"/>
  <c r="F1682" i="94"/>
  <c r="G1705" i="94"/>
  <c r="F1704" i="94"/>
  <c r="G1720" i="94"/>
  <c r="F1719" i="94"/>
  <c r="G1719" i="94" s="1"/>
  <c r="F1816" i="94"/>
  <c r="G1816" i="94" s="1"/>
  <c r="G1902" i="94"/>
  <c r="F1899" i="94"/>
  <c r="F1934" i="94"/>
  <c r="G1934" i="94" s="1"/>
  <c r="G2060" i="94"/>
  <c r="F2059" i="94"/>
  <c r="G2059" i="94" s="1"/>
  <c r="G1922" i="94"/>
  <c r="F1921" i="94"/>
  <c r="G1956" i="94"/>
  <c r="F1955" i="94"/>
  <c r="G1955" i="94" s="1"/>
  <c r="E2013" i="94"/>
  <c r="E2012" i="94" s="1"/>
  <c r="E1911" i="94" s="1"/>
  <c r="G2107" i="94"/>
  <c r="F2106" i="94"/>
  <c r="G2106" i="94" s="1"/>
  <c r="G2136" i="94"/>
  <c r="F2135" i="94"/>
  <c r="G2260" i="94"/>
  <c r="F2259" i="94"/>
  <c r="G2318" i="94"/>
  <c r="F2315" i="94"/>
  <c r="G2388" i="94"/>
  <c r="F2386" i="94"/>
  <c r="G2386" i="94" s="1"/>
  <c r="G1907" i="94"/>
  <c r="F1906" i="94"/>
  <c r="G1906" i="94" s="1"/>
  <c r="G1915" i="94"/>
  <c r="F1914" i="94"/>
  <c r="G1927" i="94"/>
  <c r="F1926" i="94"/>
  <c r="F2014" i="94"/>
  <c r="G2098" i="94"/>
  <c r="F2097" i="94"/>
  <c r="G2193" i="94"/>
  <c r="F2192" i="94"/>
  <c r="G2073" i="94"/>
  <c r="F2072" i="94"/>
  <c r="G2118" i="94"/>
  <c r="F2117" i="94"/>
  <c r="G2117" i="94" s="1"/>
  <c r="G2125" i="94"/>
  <c r="F2124" i="94"/>
  <c r="G2130" i="94"/>
  <c r="F2129" i="94"/>
  <c r="G2181" i="94"/>
  <c r="F2180" i="94"/>
  <c r="G2201" i="94"/>
  <c r="F2200" i="94"/>
  <c r="G2200" i="94" s="1"/>
  <c r="F2225" i="94"/>
  <c r="G2328" i="94"/>
  <c r="F2327" i="94"/>
  <c r="G2327" i="94" s="1"/>
  <c r="G2141" i="94"/>
  <c r="F2140" i="94"/>
  <c r="G2140" i="94" s="1"/>
  <c r="G2186" i="94"/>
  <c r="F2185" i="94"/>
  <c r="G2185" i="94" s="1"/>
  <c r="G2218" i="94"/>
  <c r="F2217" i="94"/>
  <c r="G2217" i="94" s="1"/>
  <c r="F2233" i="94"/>
  <c r="F2232" i="94" s="1"/>
  <c r="F2231" i="94" s="1"/>
  <c r="F2230" i="94" s="1"/>
  <c r="G2346" i="94"/>
  <c r="F2345" i="94"/>
  <c r="G2345" i="94" s="1"/>
  <c r="G2363" i="94"/>
  <c r="G2571" i="94"/>
  <c r="F2570" i="94"/>
  <c r="G2576" i="94"/>
  <c r="F2574" i="94"/>
  <c r="G2574" i="94" s="1"/>
  <c r="G2579" i="94"/>
  <c r="F2578" i="94"/>
  <c r="G2578" i="94" s="1"/>
  <c r="G2144" i="94"/>
  <c r="F2143" i="94"/>
  <c r="G2161" i="94"/>
  <c r="F2160" i="94"/>
  <c r="E2190" i="94"/>
  <c r="E2189" i="94" s="1"/>
  <c r="E2131" i="94" s="1"/>
  <c r="F2221" i="94"/>
  <c r="G2221" i="94" s="1"/>
  <c r="F2254" i="94"/>
  <c r="F2253" i="94" s="1"/>
  <c r="F2252" i="94" s="1"/>
  <c r="F2251" i="94" s="1"/>
  <c r="G2308" i="94"/>
  <c r="F2305" i="94"/>
  <c r="F2299" i="94"/>
  <c r="G2301" i="94"/>
  <c r="G2309" i="94"/>
  <c r="G2369" i="94"/>
  <c r="F2368" i="94"/>
  <c r="G2368" i="94" s="1"/>
  <c r="F2379" i="94"/>
  <c r="G2402" i="94"/>
  <c r="F2401" i="94"/>
  <c r="G2446" i="94"/>
  <c r="F2445" i="94"/>
  <c r="G2489" i="94"/>
  <c r="F2487" i="94"/>
  <c r="E2312" i="94"/>
  <c r="E2229" i="94" s="1"/>
  <c r="G2322" i="94"/>
  <c r="G2351" i="94"/>
  <c r="G2356" i="94"/>
  <c r="F2355" i="94"/>
  <c r="G2361" i="94"/>
  <c r="F2360" i="94"/>
  <c r="G2365" i="94"/>
  <c r="G2380" i="94"/>
  <c r="G2504" i="94"/>
  <c r="F2503" i="94"/>
  <c r="G2245" i="94"/>
  <c r="F2244" i="94"/>
  <c r="G2264" i="94"/>
  <c r="F2263" i="94"/>
  <c r="G2274" i="94"/>
  <c r="F2273" i="94"/>
  <c r="G2279" i="94"/>
  <c r="F2278" i="94"/>
  <c r="G2289" i="94"/>
  <c r="F2288" i="94"/>
  <c r="G2332" i="94"/>
  <c r="F2331" i="94"/>
  <c r="G2411" i="94"/>
  <c r="F2410" i="94"/>
  <c r="G2450" i="94"/>
  <c r="F2449" i="94"/>
  <c r="F2420" i="94"/>
  <c r="G2427" i="94"/>
  <c r="F2426" i="94"/>
  <c r="G2434" i="94"/>
  <c r="F2433" i="94"/>
  <c r="G2442" i="94"/>
  <c r="F2441" i="94"/>
  <c r="G2441" i="94" s="1"/>
  <c r="G2509" i="94"/>
  <c r="F2508" i="94"/>
  <c r="F2535" i="94"/>
  <c r="G2535" i="94" s="1"/>
  <c r="G2540" i="94"/>
  <c r="F2539" i="94"/>
  <c r="G2539" i="94" s="1"/>
  <c r="G2565" i="94"/>
  <c r="F2564" i="94"/>
  <c r="G2584" i="94"/>
  <c r="F2583" i="94"/>
  <c r="G2583" i="94" s="1"/>
  <c r="F2588" i="94"/>
  <c r="E2590" i="94"/>
  <c r="G2374" i="94"/>
  <c r="F2373" i="94"/>
  <c r="G2393" i="94"/>
  <c r="G2437" i="94"/>
  <c r="F2436" i="94"/>
  <c r="G2436" i="94" s="1"/>
  <c r="G2453" i="94"/>
  <c r="F2516" i="94"/>
  <c r="G2516" i="94" s="1"/>
  <c r="G2517" i="94"/>
  <c r="G2593" i="94"/>
  <c r="F2592" i="94"/>
  <c r="G2595" i="94"/>
  <c r="F2594" i="94"/>
  <c r="G2594" i="94" s="1"/>
  <c r="G2416" i="94"/>
  <c r="F2415" i="94"/>
  <c r="E2430" i="94"/>
  <c r="E2334" i="94" s="1"/>
  <c r="G2456" i="94"/>
  <c r="F2455" i="94"/>
  <c r="G2455" i="94" s="1"/>
  <c r="G2460" i="94"/>
  <c r="F2459" i="94"/>
  <c r="G2459" i="94" s="1"/>
  <c r="G2497" i="94"/>
  <c r="F2495" i="94"/>
  <c r="G2495" i="94" s="1"/>
  <c r="F2549" i="94"/>
  <c r="G2550" i="94"/>
  <c r="G2562" i="94"/>
  <c r="F2561" i="94"/>
  <c r="E2555" i="94"/>
  <c r="I659" i="93"/>
  <c r="G659" i="93"/>
  <c r="F659" i="93"/>
  <c r="E659" i="93"/>
  <c r="I658" i="93"/>
  <c r="G658" i="93"/>
  <c r="H658" i="93" s="1"/>
  <c r="F658" i="93"/>
  <c r="F668" i="93" s="1"/>
  <c r="E658" i="93"/>
  <c r="I656" i="93"/>
  <c r="F656" i="93"/>
  <c r="E656" i="93"/>
  <c r="F655" i="93"/>
  <c r="F665" i="93" s="1"/>
  <c r="E655" i="93"/>
  <c r="G651" i="93"/>
  <c r="I651" i="93" s="1"/>
  <c r="J651" i="93" s="1"/>
  <c r="L650" i="93"/>
  <c r="L649" i="93"/>
  <c r="L648" i="93"/>
  <c r="J647" i="93"/>
  <c r="I647" i="93"/>
  <c r="I646" i="93" s="1"/>
  <c r="I645" i="93" s="1"/>
  <c r="G647" i="93"/>
  <c r="F647" i="93"/>
  <c r="L647" i="93" s="1"/>
  <c r="E647" i="93"/>
  <c r="F646" i="93"/>
  <c r="F645" i="93" s="1"/>
  <c r="E646" i="93"/>
  <c r="E645" i="93" s="1"/>
  <c r="L644" i="93"/>
  <c r="L643" i="93"/>
  <c r="J642" i="93"/>
  <c r="J641" i="93" s="1"/>
  <c r="L641" i="93" s="1"/>
  <c r="I642" i="93"/>
  <c r="I641" i="93" s="1"/>
  <c r="G642" i="93"/>
  <c r="G641" i="93" s="1"/>
  <c r="F642" i="93"/>
  <c r="L642" i="93" s="1"/>
  <c r="E642" i="93"/>
  <c r="F641" i="93"/>
  <c r="F635" i="93" s="1"/>
  <c r="E641" i="93"/>
  <c r="L639" i="93"/>
  <c r="J639" i="93"/>
  <c r="L638" i="93"/>
  <c r="J638" i="93"/>
  <c r="J637" i="93" s="1"/>
  <c r="H638" i="93"/>
  <c r="I637" i="93"/>
  <c r="I636" i="93" s="1"/>
  <c r="G637" i="93"/>
  <c r="F637" i="93"/>
  <c r="F636" i="93" s="1"/>
  <c r="E637" i="93"/>
  <c r="H637" i="93" s="1"/>
  <c r="G636" i="93"/>
  <c r="G634" i="93"/>
  <c r="I634" i="93" s="1"/>
  <c r="J634" i="93" s="1"/>
  <c r="J633" i="93"/>
  <c r="H633" i="93"/>
  <c r="I632" i="93"/>
  <c r="G632" i="93"/>
  <c r="F632" i="93"/>
  <c r="F631" i="93" s="1"/>
  <c r="E632" i="93"/>
  <c r="E631" i="93" s="1"/>
  <c r="L630" i="93"/>
  <c r="H630" i="93"/>
  <c r="L629" i="93"/>
  <c r="H629" i="93"/>
  <c r="L628" i="93"/>
  <c r="G628" i="93"/>
  <c r="H628" i="93" s="1"/>
  <c r="F628" i="93"/>
  <c r="E628" i="93"/>
  <c r="L627" i="93"/>
  <c r="H627" i="93"/>
  <c r="L626" i="93"/>
  <c r="H626" i="93"/>
  <c r="L625" i="93"/>
  <c r="H625" i="93"/>
  <c r="G624" i="93"/>
  <c r="F624" i="93"/>
  <c r="E624" i="93"/>
  <c r="H624" i="93" s="1"/>
  <c r="J622" i="93"/>
  <c r="K621" i="93"/>
  <c r="I621" i="93"/>
  <c r="G621" i="93"/>
  <c r="F621" i="93"/>
  <c r="E621" i="93"/>
  <c r="L620" i="93"/>
  <c r="J620" i="93"/>
  <c r="H620" i="93"/>
  <c r="J619" i="93"/>
  <c r="H619" i="93"/>
  <c r="I618" i="93"/>
  <c r="G618" i="93"/>
  <c r="F618" i="93"/>
  <c r="E618" i="93"/>
  <c r="L616" i="93"/>
  <c r="H616" i="93"/>
  <c r="L615" i="93"/>
  <c r="G615" i="93"/>
  <c r="G612" i="93" s="1"/>
  <c r="F615" i="93"/>
  <c r="E615" i="93"/>
  <c r="L614" i="93"/>
  <c r="H614" i="93"/>
  <c r="G613" i="93"/>
  <c r="F613" i="93"/>
  <c r="E613" i="93"/>
  <c r="H613" i="93" s="1"/>
  <c r="L611" i="93"/>
  <c r="H611" i="93"/>
  <c r="L610" i="93"/>
  <c r="H610" i="93"/>
  <c r="L609" i="93"/>
  <c r="H609" i="93"/>
  <c r="G608" i="93"/>
  <c r="F608" i="93"/>
  <c r="L608" i="93" s="1"/>
  <c r="E608" i="93"/>
  <c r="H608" i="93" s="1"/>
  <c r="L607" i="93"/>
  <c r="H607" i="93"/>
  <c r="L606" i="93"/>
  <c r="H606" i="93"/>
  <c r="L605" i="93"/>
  <c r="H605" i="93"/>
  <c r="L604" i="93"/>
  <c r="G604" i="93"/>
  <c r="F604" i="93"/>
  <c r="E604" i="93"/>
  <c r="F603" i="93"/>
  <c r="L603" i="93" s="1"/>
  <c r="L602" i="93"/>
  <c r="H602" i="93"/>
  <c r="G601" i="93"/>
  <c r="F601" i="93"/>
  <c r="L601" i="93" s="1"/>
  <c r="E601" i="93"/>
  <c r="J600" i="93"/>
  <c r="L600" i="93" s="1"/>
  <c r="J599" i="93"/>
  <c r="L599" i="93" s="1"/>
  <c r="I599" i="93"/>
  <c r="I598" i="93" s="1"/>
  <c r="G599" i="93"/>
  <c r="F599" i="93"/>
  <c r="E599" i="93"/>
  <c r="L597" i="93"/>
  <c r="H597" i="93"/>
  <c r="J596" i="93"/>
  <c r="I596" i="93"/>
  <c r="G596" i="93"/>
  <c r="H596" i="93" s="1"/>
  <c r="F596" i="93"/>
  <c r="E596" i="93"/>
  <c r="L595" i="93"/>
  <c r="H595" i="93"/>
  <c r="L594" i="93"/>
  <c r="H594" i="93"/>
  <c r="L593" i="93"/>
  <c r="H593" i="93"/>
  <c r="J592" i="93"/>
  <c r="J591" i="93" s="1"/>
  <c r="I592" i="93"/>
  <c r="I591" i="93" s="1"/>
  <c r="G592" i="93"/>
  <c r="F592" i="93"/>
  <c r="L592" i="93" s="1"/>
  <c r="E592" i="93"/>
  <c r="E591" i="93" s="1"/>
  <c r="F591" i="93"/>
  <c r="L590" i="93"/>
  <c r="H590" i="93"/>
  <c r="L589" i="93"/>
  <c r="H589" i="93"/>
  <c r="L588" i="93"/>
  <c r="H588" i="93"/>
  <c r="L587" i="93"/>
  <c r="H587" i="93"/>
  <c r="J586" i="93"/>
  <c r="I586" i="93"/>
  <c r="I585" i="93" s="1"/>
  <c r="G586" i="93"/>
  <c r="F586" i="93"/>
  <c r="L586" i="93" s="1"/>
  <c r="E586" i="93"/>
  <c r="E585" i="93" s="1"/>
  <c r="J585" i="93"/>
  <c r="F585" i="93"/>
  <c r="L583" i="93"/>
  <c r="H583" i="93"/>
  <c r="L582" i="93"/>
  <c r="H582" i="93"/>
  <c r="L581" i="93"/>
  <c r="H581" i="93"/>
  <c r="L580" i="93"/>
  <c r="H580" i="93"/>
  <c r="L579" i="93"/>
  <c r="H579" i="93"/>
  <c r="L578" i="93"/>
  <c r="H578" i="93"/>
  <c r="J576" i="93"/>
  <c r="H576" i="93"/>
  <c r="I575" i="93"/>
  <c r="I574" i="93" s="1"/>
  <c r="G575" i="93"/>
  <c r="F575" i="93"/>
  <c r="F574" i="93" s="1"/>
  <c r="E575" i="93"/>
  <c r="E574" i="93" s="1"/>
  <c r="L572" i="93"/>
  <c r="J572" i="93"/>
  <c r="H572" i="93"/>
  <c r="J571" i="93"/>
  <c r="L571" i="93" s="1"/>
  <c r="H571" i="93"/>
  <c r="J570" i="93"/>
  <c r="J569" i="93" s="1"/>
  <c r="I569" i="93"/>
  <c r="G569" i="93"/>
  <c r="H569" i="93" s="1"/>
  <c r="F569" i="93"/>
  <c r="F568" i="93" s="1"/>
  <c r="E569" i="93"/>
  <c r="I568" i="93"/>
  <c r="G568" i="93"/>
  <c r="E568" i="93"/>
  <c r="J566" i="93"/>
  <c r="H566" i="93"/>
  <c r="J565" i="93"/>
  <c r="L565" i="93" s="1"/>
  <c r="J564" i="93"/>
  <c r="L564" i="93" s="1"/>
  <c r="H564" i="93"/>
  <c r="J563" i="93"/>
  <c r="L563" i="93" s="1"/>
  <c r="H563" i="93"/>
  <c r="J562" i="93"/>
  <c r="H562" i="93"/>
  <c r="I561" i="93"/>
  <c r="I560" i="93" s="1"/>
  <c r="G561" i="93"/>
  <c r="F561" i="93"/>
  <c r="E561" i="93"/>
  <c r="E560" i="93" s="1"/>
  <c r="F560" i="93"/>
  <c r="G559" i="93"/>
  <c r="I559" i="93" s="1"/>
  <c r="J559" i="93" s="1"/>
  <c r="L558" i="93"/>
  <c r="H558" i="93"/>
  <c r="L557" i="93"/>
  <c r="H557" i="93"/>
  <c r="J556" i="93"/>
  <c r="H556" i="93"/>
  <c r="I555" i="93"/>
  <c r="I554" i="93" s="1"/>
  <c r="I553" i="93" s="1"/>
  <c r="G555" i="93"/>
  <c r="F555" i="93"/>
  <c r="E555" i="93"/>
  <c r="E554" i="93" s="1"/>
  <c r="G554" i="93"/>
  <c r="F554" i="93"/>
  <c r="G552" i="93"/>
  <c r="I552" i="93" s="1"/>
  <c r="J552" i="93" s="1"/>
  <c r="L551" i="93"/>
  <c r="J551" i="93"/>
  <c r="J550" i="93"/>
  <c r="L550" i="93" s="1"/>
  <c r="H550" i="93"/>
  <c r="L549" i="93"/>
  <c r="I548" i="93"/>
  <c r="G548" i="93"/>
  <c r="F548" i="93"/>
  <c r="F547" i="93" s="1"/>
  <c r="E548" i="93"/>
  <c r="E547" i="93"/>
  <c r="G546" i="93"/>
  <c r="I546" i="93" s="1"/>
  <c r="J546" i="93" s="1"/>
  <c r="J545" i="93"/>
  <c r="H545" i="93"/>
  <c r="I544" i="93"/>
  <c r="I543" i="93" s="1"/>
  <c r="G544" i="93"/>
  <c r="F544" i="93"/>
  <c r="F543" i="93" s="1"/>
  <c r="E544" i="93"/>
  <c r="E543" i="93" s="1"/>
  <c r="L542" i="93"/>
  <c r="L541" i="93"/>
  <c r="L540" i="93"/>
  <c r="L539" i="93"/>
  <c r="J538" i="93"/>
  <c r="I538" i="93"/>
  <c r="I537" i="93" s="1"/>
  <c r="G538" i="93"/>
  <c r="G537" i="93" s="1"/>
  <c r="F538" i="93"/>
  <c r="L538" i="93" s="1"/>
  <c r="E538" i="93"/>
  <c r="J537" i="93"/>
  <c r="F537" i="93"/>
  <c r="F536" i="93" s="1"/>
  <c r="E537" i="93"/>
  <c r="L535" i="93"/>
  <c r="H535" i="93"/>
  <c r="L534" i="93"/>
  <c r="H534" i="93"/>
  <c r="G533" i="93"/>
  <c r="F533" i="93"/>
  <c r="L533" i="93" s="1"/>
  <c r="E533" i="93"/>
  <c r="E532" i="93" s="1"/>
  <c r="E531" i="93" s="1"/>
  <c r="J530" i="93"/>
  <c r="L530" i="93" s="1"/>
  <c r="I529" i="93"/>
  <c r="G529" i="93"/>
  <c r="F529" i="93"/>
  <c r="E529" i="93"/>
  <c r="J528" i="93"/>
  <c r="L528" i="93" s="1"/>
  <c r="J527" i="93"/>
  <c r="L527" i="93" s="1"/>
  <c r="J526" i="93"/>
  <c r="L526" i="93" s="1"/>
  <c r="J525" i="93"/>
  <c r="L525" i="93" s="1"/>
  <c r="J524" i="93"/>
  <c r="L524" i="93" s="1"/>
  <c r="J523" i="93"/>
  <c r="L523" i="93" s="1"/>
  <c r="J522" i="93"/>
  <c r="L522" i="93" s="1"/>
  <c r="H522" i="93"/>
  <c r="L521" i="93"/>
  <c r="J521" i="93"/>
  <c r="H521" i="93"/>
  <c r="L520" i="93"/>
  <c r="H520" i="93"/>
  <c r="L519" i="93"/>
  <c r="H519" i="93"/>
  <c r="I518" i="93"/>
  <c r="I517" i="93" s="1"/>
  <c r="G518" i="93"/>
  <c r="H518" i="93" s="1"/>
  <c r="F518" i="93"/>
  <c r="F517" i="93" s="1"/>
  <c r="E518" i="93"/>
  <c r="G517" i="93"/>
  <c r="E517" i="93"/>
  <c r="L515" i="93"/>
  <c r="L514" i="93"/>
  <c r="J513" i="93"/>
  <c r="L513" i="93" s="1"/>
  <c r="H513" i="93"/>
  <c r="J512" i="93"/>
  <c r="J511" i="93"/>
  <c r="L511" i="93" s="1"/>
  <c r="H511" i="93"/>
  <c r="L510" i="93"/>
  <c r="J510" i="93"/>
  <c r="H510" i="93"/>
  <c r="J509" i="93"/>
  <c r="L509" i="93" s="1"/>
  <c r="H509" i="93"/>
  <c r="L508" i="93"/>
  <c r="J508" i="93"/>
  <c r="H508" i="93"/>
  <c r="J507" i="93"/>
  <c r="L507" i="93" s="1"/>
  <c r="I506" i="93"/>
  <c r="I505" i="93" s="1"/>
  <c r="G506" i="93"/>
  <c r="H506" i="93" s="1"/>
  <c r="F506" i="93"/>
  <c r="F505" i="93" s="1"/>
  <c r="E506" i="93"/>
  <c r="G505" i="93"/>
  <c r="E505" i="93"/>
  <c r="J503" i="93"/>
  <c r="H503" i="93"/>
  <c r="I502" i="93"/>
  <c r="I501" i="93" s="1"/>
  <c r="G502" i="93"/>
  <c r="F502" i="93"/>
  <c r="F501" i="93" s="1"/>
  <c r="F495" i="93" s="1"/>
  <c r="E502" i="93"/>
  <c r="E501" i="93" s="1"/>
  <c r="L500" i="93"/>
  <c r="L499" i="93"/>
  <c r="L498" i="93"/>
  <c r="J497" i="93"/>
  <c r="I497" i="93"/>
  <c r="G497" i="93"/>
  <c r="F497" i="93"/>
  <c r="E497" i="93"/>
  <c r="E496" i="93" s="1"/>
  <c r="I496" i="93"/>
  <c r="G496" i="93"/>
  <c r="F496" i="93"/>
  <c r="L494" i="93"/>
  <c r="J494" i="93"/>
  <c r="L493" i="93"/>
  <c r="L492" i="93"/>
  <c r="J491" i="93"/>
  <c r="I491" i="93"/>
  <c r="G491" i="93"/>
  <c r="F491" i="93"/>
  <c r="E491" i="93"/>
  <c r="L490" i="93"/>
  <c r="J490" i="93"/>
  <c r="J489" i="93"/>
  <c r="L489" i="93" s="1"/>
  <c r="L488" i="93"/>
  <c r="J488" i="93"/>
  <c r="J487" i="93"/>
  <c r="L487" i="93" s="1"/>
  <c r="H487" i="93"/>
  <c r="J486" i="93"/>
  <c r="L486" i="93" s="1"/>
  <c r="J485" i="93"/>
  <c r="L485" i="93" s="1"/>
  <c r="H485" i="93"/>
  <c r="L484" i="93"/>
  <c r="J484" i="93"/>
  <c r="H484" i="93"/>
  <c r="J483" i="93"/>
  <c r="L483" i="93" s="1"/>
  <c r="J482" i="93"/>
  <c r="L482" i="93" s="1"/>
  <c r="H482" i="93"/>
  <c r="J481" i="93"/>
  <c r="L481" i="93" s="1"/>
  <c r="H481" i="93"/>
  <c r="J480" i="93"/>
  <c r="L480" i="93" s="1"/>
  <c r="H480" i="93"/>
  <c r="L479" i="93"/>
  <c r="J479" i="93"/>
  <c r="H479" i="93"/>
  <c r="J478" i="93"/>
  <c r="H478" i="93"/>
  <c r="I477" i="93"/>
  <c r="I476" i="93" s="1"/>
  <c r="G477" i="93"/>
  <c r="F477" i="93"/>
  <c r="E477" i="93"/>
  <c r="E476" i="93" s="1"/>
  <c r="F476" i="93"/>
  <c r="G475" i="93"/>
  <c r="I475" i="93" s="1"/>
  <c r="J475" i="93" s="1"/>
  <c r="L474" i="93"/>
  <c r="H474" i="93"/>
  <c r="L473" i="93"/>
  <c r="K473" i="93"/>
  <c r="H473" i="93"/>
  <c r="L472" i="93"/>
  <c r="J472" i="93"/>
  <c r="H472" i="93"/>
  <c r="L471" i="93"/>
  <c r="J470" i="93"/>
  <c r="L470" i="93" s="1"/>
  <c r="H470" i="93"/>
  <c r="J469" i="93"/>
  <c r="L469" i="93" s="1"/>
  <c r="H469" i="93"/>
  <c r="L468" i="93"/>
  <c r="L467" i="93"/>
  <c r="I466" i="93"/>
  <c r="G466" i="93"/>
  <c r="F466" i="93"/>
  <c r="F465" i="93" s="1"/>
  <c r="E466" i="93"/>
  <c r="I465" i="93"/>
  <c r="E465" i="93"/>
  <c r="J464" i="93"/>
  <c r="G464" i="93"/>
  <c r="I464" i="93" s="1"/>
  <c r="L463" i="93"/>
  <c r="H463" i="93"/>
  <c r="J462" i="93"/>
  <c r="H462" i="93"/>
  <c r="I461" i="93"/>
  <c r="H461" i="93"/>
  <c r="G461" i="93"/>
  <c r="F461" i="93"/>
  <c r="E461" i="93"/>
  <c r="E460" i="93" s="1"/>
  <c r="G460" i="93"/>
  <c r="H460" i="93" s="1"/>
  <c r="F460" i="93"/>
  <c r="J458" i="93"/>
  <c r="L458" i="93" s="1"/>
  <c r="I457" i="93"/>
  <c r="G457" i="93"/>
  <c r="F457" i="93"/>
  <c r="F451" i="93" s="1"/>
  <c r="E457" i="93"/>
  <c r="J456" i="93"/>
  <c r="L456" i="93" s="1"/>
  <c r="J455" i="93"/>
  <c r="L455" i="93" s="1"/>
  <c r="H455" i="93"/>
  <c r="J454" i="93"/>
  <c r="L454" i="93" s="1"/>
  <c r="L453" i="93"/>
  <c r="H453" i="93"/>
  <c r="I452" i="93"/>
  <c r="I451" i="93" s="1"/>
  <c r="G452" i="93"/>
  <c r="F452" i="93"/>
  <c r="E452" i="93"/>
  <c r="E451" i="93" s="1"/>
  <c r="G450" i="93"/>
  <c r="I450" i="93" s="1"/>
  <c r="J450" i="93" s="1"/>
  <c r="J449" i="93"/>
  <c r="J448" i="93" s="1"/>
  <c r="J447" i="93" s="1"/>
  <c r="L447" i="93" s="1"/>
  <c r="I448" i="93"/>
  <c r="I447" i="93" s="1"/>
  <c r="G448" i="93"/>
  <c r="F448" i="93"/>
  <c r="F447" i="93" s="1"/>
  <c r="E448" i="93"/>
  <c r="E447" i="93" s="1"/>
  <c r="G447" i="93"/>
  <c r="G446" i="93"/>
  <c r="I446" i="93" s="1"/>
  <c r="J446" i="93" s="1"/>
  <c r="J445" i="93"/>
  <c r="L445" i="93" s="1"/>
  <c r="H445" i="93"/>
  <c r="I444" i="93"/>
  <c r="G444" i="93"/>
  <c r="H444" i="93" s="1"/>
  <c r="F444" i="93"/>
  <c r="F443" i="93" s="1"/>
  <c r="E444" i="93"/>
  <c r="E443" i="93" s="1"/>
  <c r="L442" i="93"/>
  <c r="G442" i="93"/>
  <c r="H442" i="93" s="1"/>
  <c r="L441" i="93"/>
  <c r="H441" i="93"/>
  <c r="L440" i="93"/>
  <c r="H440" i="93"/>
  <c r="G439" i="93"/>
  <c r="F439" i="93"/>
  <c r="L439" i="93" s="1"/>
  <c r="E439" i="93"/>
  <c r="E438" i="93" s="1"/>
  <c r="G438" i="93"/>
  <c r="L437" i="93"/>
  <c r="H437" i="93"/>
  <c r="G437" i="93"/>
  <c r="L436" i="93"/>
  <c r="H436" i="93"/>
  <c r="L435" i="93"/>
  <c r="H435" i="93"/>
  <c r="G434" i="93"/>
  <c r="F434" i="93"/>
  <c r="L434" i="93" s="1"/>
  <c r="E434" i="93"/>
  <c r="E433" i="93"/>
  <c r="L432" i="93"/>
  <c r="H432" i="93"/>
  <c r="G431" i="93"/>
  <c r="H431" i="93" s="1"/>
  <c r="F431" i="93"/>
  <c r="L431" i="93" s="1"/>
  <c r="E431" i="93"/>
  <c r="E429" i="93" s="1"/>
  <c r="L430" i="93"/>
  <c r="H430" i="93"/>
  <c r="F429" i="93"/>
  <c r="L429" i="93" s="1"/>
  <c r="J428" i="93"/>
  <c r="J427" i="93"/>
  <c r="I426" i="93"/>
  <c r="I424" i="93" s="1"/>
  <c r="G426" i="93"/>
  <c r="G424" i="93" s="1"/>
  <c r="F426" i="93"/>
  <c r="E426" i="93"/>
  <c r="F424" i="93"/>
  <c r="E424" i="93"/>
  <c r="L423" i="93"/>
  <c r="G422" i="93"/>
  <c r="F422" i="93"/>
  <c r="F420" i="93" s="1"/>
  <c r="E422" i="93"/>
  <c r="L421" i="93"/>
  <c r="G420" i="93"/>
  <c r="E420" i="93"/>
  <c r="L419" i="93"/>
  <c r="G418" i="93"/>
  <c r="F418" i="93"/>
  <c r="L418" i="93" s="1"/>
  <c r="E418" i="93"/>
  <c r="L417" i="93"/>
  <c r="G416" i="93"/>
  <c r="F416" i="93"/>
  <c r="L416" i="93" s="1"/>
  <c r="E416" i="93"/>
  <c r="L415" i="93"/>
  <c r="J414" i="93"/>
  <c r="L414" i="93" s="1"/>
  <c r="L413" i="93"/>
  <c r="I412" i="93"/>
  <c r="G412" i="93"/>
  <c r="F412" i="93"/>
  <c r="E412" i="93"/>
  <c r="E408" i="93" s="1"/>
  <c r="E407" i="93" s="1"/>
  <c r="L411" i="93"/>
  <c r="L410" i="93"/>
  <c r="J409" i="93"/>
  <c r="L409" i="93" s="1"/>
  <c r="I409" i="93"/>
  <c r="I408" i="93" s="1"/>
  <c r="G409" i="93"/>
  <c r="G408" i="93" s="1"/>
  <c r="F409" i="93"/>
  <c r="E409" i="93"/>
  <c r="F408" i="93"/>
  <c r="J406" i="93"/>
  <c r="L406" i="93" s="1"/>
  <c r="J405" i="93"/>
  <c r="L405" i="93" s="1"/>
  <c r="I405" i="93"/>
  <c r="G405" i="93"/>
  <c r="F405" i="93"/>
  <c r="E405" i="93"/>
  <c r="L404" i="93"/>
  <c r="J404" i="93"/>
  <c r="J403" i="93"/>
  <c r="L403" i="93" s="1"/>
  <c r="L402" i="93"/>
  <c r="L401" i="93"/>
  <c r="L400" i="93"/>
  <c r="J399" i="93"/>
  <c r="I399" i="93"/>
  <c r="G399" i="93"/>
  <c r="F399" i="93"/>
  <c r="F398" i="93" s="1"/>
  <c r="E399" i="93"/>
  <c r="G398" i="93"/>
  <c r="L397" i="93"/>
  <c r="L396" i="93"/>
  <c r="J395" i="93"/>
  <c r="L395" i="93" s="1"/>
  <c r="I395" i="93"/>
  <c r="I394" i="93" s="1"/>
  <c r="G395" i="93"/>
  <c r="G394" i="93" s="1"/>
  <c r="F395" i="93"/>
  <c r="E395" i="93"/>
  <c r="E394" i="93" s="1"/>
  <c r="J394" i="93"/>
  <c r="L394" i="93" s="1"/>
  <c r="F394" i="93"/>
  <c r="J392" i="93"/>
  <c r="L392" i="93" s="1"/>
  <c r="H392" i="93"/>
  <c r="L391" i="93"/>
  <c r="J391" i="93"/>
  <c r="H391" i="93"/>
  <c r="J390" i="93"/>
  <c r="L390" i="93" s="1"/>
  <c r="H390" i="93"/>
  <c r="J389" i="93"/>
  <c r="L389" i="93" s="1"/>
  <c r="H389" i="93"/>
  <c r="J388" i="93"/>
  <c r="L388" i="93" s="1"/>
  <c r="H388" i="93"/>
  <c r="L387" i="93"/>
  <c r="H387" i="93"/>
  <c r="I386" i="93"/>
  <c r="I385" i="93" s="1"/>
  <c r="G386" i="93"/>
  <c r="F386" i="93"/>
  <c r="E386" i="93"/>
  <c r="E385" i="93" s="1"/>
  <c r="F385" i="93"/>
  <c r="L383" i="93"/>
  <c r="J382" i="93"/>
  <c r="L382" i="93" s="1"/>
  <c r="J381" i="93"/>
  <c r="L381" i="93" s="1"/>
  <c r="J380" i="93"/>
  <c r="L380" i="93" s="1"/>
  <c r="H380" i="93"/>
  <c r="J379" i="93"/>
  <c r="L379" i="93" s="1"/>
  <c r="H379" i="93"/>
  <c r="J378" i="93"/>
  <c r="L378" i="93" s="1"/>
  <c r="H378" i="93"/>
  <c r="L377" i="93"/>
  <c r="J377" i="93"/>
  <c r="J376" i="93"/>
  <c r="L376" i="93" s="1"/>
  <c r="H376" i="93"/>
  <c r="J375" i="93"/>
  <c r="L375" i="93" s="1"/>
  <c r="H375" i="93"/>
  <c r="J374" i="93"/>
  <c r="L374" i="93" s="1"/>
  <c r="H374" i="93"/>
  <c r="J373" i="93"/>
  <c r="L373" i="93" s="1"/>
  <c r="J372" i="93"/>
  <c r="L372" i="93" s="1"/>
  <c r="J371" i="93"/>
  <c r="L371" i="93" s="1"/>
  <c r="H371" i="93"/>
  <c r="J370" i="93"/>
  <c r="L370" i="93" s="1"/>
  <c r="H370" i="93"/>
  <c r="I369" i="93"/>
  <c r="I368" i="93" s="1"/>
  <c r="G369" i="93"/>
  <c r="H369" i="93" s="1"/>
  <c r="F369" i="93"/>
  <c r="F368" i="93" s="1"/>
  <c r="E369" i="93"/>
  <c r="G368" i="93"/>
  <c r="E368" i="93"/>
  <c r="L366" i="93"/>
  <c r="H366" i="93"/>
  <c r="J365" i="93"/>
  <c r="H365" i="93"/>
  <c r="L364" i="93"/>
  <c r="H364" i="93"/>
  <c r="L363" i="93"/>
  <c r="H363" i="93"/>
  <c r="L362" i="93"/>
  <c r="H362" i="93"/>
  <c r="L361" i="93"/>
  <c r="H361" i="93"/>
  <c r="I360" i="93"/>
  <c r="I359" i="93" s="1"/>
  <c r="G360" i="93"/>
  <c r="F360" i="93"/>
  <c r="E360" i="93"/>
  <c r="E359" i="93" s="1"/>
  <c r="F359" i="93"/>
  <c r="L358" i="93"/>
  <c r="H358" i="93"/>
  <c r="L357" i="93"/>
  <c r="H357" i="93"/>
  <c r="J356" i="93"/>
  <c r="L356" i="93" s="1"/>
  <c r="I356" i="93"/>
  <c r="I355" i="93" s="1"/>
  <c r="G356" i="93"/>
  <c r="F356" i="93"/>
  <c r="E356" i="93"/>
  <c r="E355" i="93" s="1"/>
  <c r="J355" i="93"/>
  <c r="L355" i="93" s="1"/>
  <c r="F355" i="93"/>
  <c r="L353" i="93"/>
  <c r="H353" i="93"/>
  <c r="L352" i="93"/>
  <c r="J352" i="93"/>
  <c r="J351" i="93" s="1"/>
  <c r="H352" i="93"/>
  <c r="I351" i="93"/>
  <c r="I350" i="93" s="1"/>
  <c r="G351" i="93"/>
  <c r="F351" i="93"/>
  <c r="F350" i="93" s="1"/>
  <c r="E351" i="93"/>
  <c r="H351" i="93" s="1"/>
  <c r="G350" i="93"/>
  <c r="L348" i="93"/>
  <c r="H348" i="93"/>
  <c r="J347" i="93"/>
  <c r="L347" i="93" s="1"/>
  <c r="H347" i="93"/>
  <c r="L346" i="93"/>
  <c r="H346" i="93"/>
  <c r="J345" i="93"/>
  <c r="H345" i="93"/>
  <c r="I344" i="93"/>
  <c r="G344" i="93"/>
  <c r="F344" i="93"/>
  <c r="E344" i="93"/>
  <c r="J343" i="93"/>
  <c r="L343" i="93" s="1"/>
  <c r="I343" i="93"/>
  <c r="H343" i="93"/>
  <c r="J342" i="93"/>
  <c r="L342" i="93" s="1"/>
  <c r="H342" i="93"/>
  <c r="I341" i="93"/>
  <c r="I655" i="93" s="1"/>
  <c r="H341" i="93"/>
  <c r="L340" i="93"/>
  <c r="J340" i="93"/>
  <c r="H340" i="93"/>
  <c r="L339" i="93"/>
  <c r="H339" i="93"/>
  <c r="G338" i="93"/>
  <c r="F338" i="93"/>
  <c r="F337" i="93" s="1"/>
  <c r="E338" i="93"/>
  <c r="H338" i="93" s="1"/>
  <c r="G337" i="93"/>
  <c r="L336" i="93"/>
  <c r="H336" i="93"/>
  <c r="L335" i="93"/>
  <c r="H335" i="93"/>
  <c r="J334" i="93"/>
  <c r="L334" i="93" s="1"/>
  <c r="H334" i="93"/>
  <c r="L333" i="93"/>
  <c r="J333" i="93"/>
  <c r="H333" i="93"/>
  <c r="J332" i="93"/>
  <c r="L332" i="93" s="1"/>
  <c r="H332" i="93"/>
  <c r="L331" i="93"/>
  <c r="J331" i="93"/>
  <c r="H331" i="93"/>
  <c r="I330" i="93"/>
  <c r="G330" i="93"/>
  <c r="F330" i="93"/>
  <c r="E330" i="93"/>
  <c r="H330" i="93" s="1"/>
  <c r="L329" i="93"/>
  <c r="H329" i="93"/>
  <c r="J328" i="93"/>
  <c r="L328" i="93" s="1"/>
  <c r="H328" i="93"/>
  <c r="L327" i="93"/>
  <c r="H327" i="93"/>
  <c r="L326" i="93"/>
  <c r="H326" i="93"/>
  <c r="J325" i="93"/>
  <c r="H325" i="93"/>
  <c r="I324" i="93"/>
  <c r="I323" i="93" s="1"/>
  <c r="G324" i="93"/>
  <c r="F324" i="93"/>
  <c r="E324" i="93"/>
  <c r="F323" i="93"/>
  <c r="L321" i="93"/>
  <c r="J321" i="93"/>
  <c r="H321" i="93"/>
  <c r="J320" i="93"/>
  <c r="I320" i="93"/>
  <c r="I319" i="93" s="1"/>
  <c r="G320" i="93"/>
  <c r="F320" i="93"/>
  <c r="F319" i="93" s="1"/>
  <c r="E320" i="93"/>
  <c r="H320" i="93" s="1"/>
  <c r="G319" i="93"/>
  <c r="E319" i="93"/>
  <c r="J317" i="93"/>
  <c r="J316" i="93" s="1"/>
  <c r="L316" i="93" s="1"/>
  <c r="I316" i="93"/>
  <c r="G316" i="93"/>
  <c r="G315" i="93" s="1"/>
  <c r="F316" i="93"/>
  <c r="F315" i="93" s="1"/>
  <c r="E316" i="93"/>
  <c r="I315" i="93"/>
  <c r="E315" i="93"/>
  <c r="L314" i="93"/>
  <c r="H314" i="93"/>
  <c r="J313" i="93"/>
  <c r="I313" i="93"/>
  <c r="I311" i="93" s="1"/>
  <c r="G313" i="93"/>
  <c r="F313" i="93"/>
  <c r="F311" i="93" s="1"/>
  <c r="E313" i="93"/>
  <c r="H313" i="93" s="1"/>
  <c r="L312" i="93"/>
  <c r="H312" i="93"/>
  <c r="G311" i="93"/>
  <c r="L310" i="93"/>
  <c r="J309" i="93"/>
  <c r="J308" i="93" s="1"/>
  <c r="J307" i="93" s="1"/>
  <c r="L307" i="93" s="1"/>
  <c r="I308" i="93"/>
  <c r="I307" i="93" s="1"/>
  <c r="G308" i="93"/>
  <c r="G307" i="93" s="1"/>
  <c r="F308" i="93"/>
  <c r="E308" i="93"/>
  <c r="F307" i="93"/>
  <c r="E307" i="93"/>
  <c r="L305" i="93"/>
  <c r="J305" i="93"/>
  <c r="H305" i="93"/>
  <c r="J304" i="93"/>
  <c r="I304" i="93"/>
  <c r="I303" i="93" s="1"/>
  <c r="G304" i="93"/>
  <c r="H304" i="93" s="1"/>
  <c r="F304" i="93"/>
  <c r="F303" i="93" s="1"/>
  <c r="E304" i="93"/>
  <c r="G303" i="93"/>
  <c r="H303" i="93" s="1"/>
  <c r="E303" i="93"/>
  <c r="J302" i="93"/>
  <c r="L302" i="93" s="1"/>
  <c r="I301" i="93"/>
  <c r="G301" i="93"/>
  <c r="F301" i="93"/>
  <c r="E301" i="93"/>
  <c r="L300" i="93"/>
  <c r="H300" i="93"/>
  <c r="H299" i="93"/>
  <c r="J298" i="93"/>
  <c r="I298" i="93"/>
  <c r="G298" i="93"/>
  <c r="G297" i="93" s="1"/>
  <c r="H297" i="93" s="1"/>
  <c r="F298" i="93"/>
  <c r="E298" i="93"/>
  <c r="I297" i="93"/>
  <c r="E297" i="93"/>
  <c r="J295" i="93"/>
  <c r="H295" i="93"/>
  <c r="I294" i="93"/>
  <c r="I293" i="93" s="1"/>
  <c r="G294" i="93"/>
  <c r="H294" i="93" s="1"/>
  <c r="F294" i="93"/>
  <c r="E294" i="93"/>
  <c r="E293" i="93" s="1"/>
  <c r="F293" i="93"/>
  <c r="J290" i="93"/>
  <c r="H290" i="93"/>
  <c r="J289" i="93"/>
  <c r="H289" i="93"/>
  <c r="I288" i="93"/>
  <c r="I287" i="93" s="1"/>
  <c r="G288" i="93"/>
  <c r="G287" i="93" s="1"/>
  <c r="H287" i="93" s="1"/>
  <c r="F288" i="93"/>
  <c r="E288" i="93"/>
  <c r="F287" i="93"/>
  <c r="E287" i="93"/>
  <c r="J285" i="93"/>
  <c r="L285" i="93" s="1"/>
  <c r="H285" i="93"/>
  <c r="L284" i="93"/>
  <c r="J284" i="93"/>
  <c r="H284" i="93"/>
  <c r="J283" i="93"/>
  <c r="L283" i="93" s="1"/>
  <c r="H283" i="93"/>
  <c r="I282" i="93"/>
  <c r="I281" i="93" s="1"/>
  <c r="G282" i="93"/>
  <c r="F282" i="93"/>
  <c r="F281" i="93" s="1"/>
  <c r="F280" i="93" s="1"/>
  <c r="E282" i="93"/>
  <c r="E281" i="93" s="1"/>
  <c r="E280" i="93" s="1"/>
  <c r="J279" i="93"/>
  <c r="L279" i="93" s="1"/>
  <c r="J278" i="93"/>
  <c r="L278" i="93" s="1"/>
  <c r="H278" i="93"/>
  <c r="H277" i="93"/>
  <c r="G277" i="93"/>
  <c r="J277" i="93" s="1"/>
  <c r="F277" i="93"/>
  <c r="E277" i="93"/>
  <c r="E276" i="93" s="1"/>
  <c r="E275" i="93" s="1"/>
  <c r="G276" i="93"/>
  <c r="J276" i="93" s="1"/>
  <c r="L276" i="93" s="1"/>
  <c r="F276" i="93"/>
  <c r="J273" i="93"/>
  <c r="J272" i="93" s="1"/>
  <c r="J271" i="93" s="1"/>
  <c r="J270" i="93" s="1"/>
  <c r="I272" i="93"/>
  <c r="I271" i="93" s="1"/>
  <c r="I270" i="93" s="1"/>
  <c r="G272" i="93"/>
  <c r="G271" i="93" s="1"/>
  <c r="G270" i="93" s="1"/>
  <c r="F272" i="93"/>
  <c r="F271" i="93" s="1"/>
  <c r="F270" i="93" s="1"/>
  <c r="E272" i="93"/>
  <c r="E271" i="93"/>
  <c r="E270" i="93" s="1"/>
  <c r="L269" i="93"/>
  <c r="J269" i="93"/>
  <c r="J268" i="93"/>
  <c r="L268" i="93" s="1"/>
  <c r="H268" i="93"/>
  <c r="J267" i="93"/>
  <c r="L267" i="93" s="1"/>
  <c r="H267" i="93"/>
  <c r="L266" i="93"/>
  <c r="J266" i="93"/>
  <c r="H266" i="93"/>
  <c r="J265" i="93"/>
  <c r="H265" i="93"/>
  <c r="L264" i="93"/>
  <c r="J264" i="93"/>
  <c r="H264" i="93"/>
  <c r="J263" i="93"/>
  <c r="L263" i="93" s="1"/>
  <c r="H263" i="93"/>
  <c r="I262" i="93"/>
  <c r="G262" i="93"/>
  <c r="F262" i="93"/>
  <c r="E262" i="93"/>
  <c r="J261" i="93"/>
  <c r="L261" i="93" s="1"/>
  <c r="J260" i="93"/>
  <c r="L260" i="93" s="1"/>
  <c r="J259" i="93"/>
  <c r="L259" i="93" s="1"/>
  <c r="H259" i="93"/>
  <c r="L258" i="93"/>
  <c r="J258" i="93"/>
  <c r="H258" i="93"/>
  <c r="J257" i="93"/>
  <c r="L257" i="93" s="1"/>
  <c r="H257" i="93"/>
  <c r="J256" i="93"/>
  <c r="L256" i="93" s="1"/>
  <c r="H256" i="93"/>
  <c r="J255" i="93"/>
  <c r="L255" i="93" s="1"/>
  <c r="H255" i="93"/>
  <c r="L254" i="93"/>
  <c r="J254" i="93"/>
  <c r="H254" i="93"/>
  <c r="J253" i="93"/>
  <c r="L253" i="93" s="1"/>
  <c r="H253" i="93"/>
  <c r="L252" i="93"/>
  <c r="J252" i="93"/>
  <c r="H252" i="93"/>
  <c r="J251" i="93"/>
  <c r="L251" i="93" s="1"/>
  <c r="G251" i="93"/>
  <c r="H251" i="93" s="1"/>
  <c r="J250" i="93"/>
  <c r="L250" i="93" s="1"/>
  <c r="H250" i="93"/>
  <c r="L249" i="93"/>
  <c r="J249" i="93"/>
  <c r="H249" i="93"/>
  <c r="J248" i="93"/>
  <c r="L248" i="93" s="1"/>
  <c r="H248" i="93"/>
  <c r="L247" i="93"/>
  <c r="J247" i="93"/>
  <c r="H247" i="93"/>
  <c r="J246" i="93"/>
  <c r="L246" i="93" s="1"/>
  <c r="H246" i="93"/>
  <c r="H245" i="93"/>
  <c r="G245" i="93"/>
  <c r="J245" i="93" s="1"/>
  <c r="L245" i="93" s="1"/>
  <c r="L244" i="93"/>
  <c r="J244" i="93"/>
  <c r="H244" i="93"/>
  <c r="J243" i="93"/>
  <c r="L243" i="93" s="1"/>
  <c r="H243" i="93"/>
  <c r="L242" i="93"/>
  <c r="J242" i="93"/>
  <c r="H242" i="93"/>
  <c r="J241" i="93"/>
  <c r="I240" i="93"/>
  <c r="F240" i="93"/>
  <c r="E240" i="93"/>
  <c r="I239" i="93"/>
  <c r="E239" i="93"/>
  <c r="J237" i="93"/>
  <c r="L237" i="93" s="1"/>
  <c r="H237" i="93"/>
  <c r="I236" i="93"/>
  <c r="I235" i="93" s="1"/>
  <c r="G236" i="93"/>
  <c r="H236" i="93" s="1"/>
  <c r="F236" i="93"/>
  <c r="E236" i="93"/>
  <c r="E235" i="93" s="1"/>
  <c r="F235" i="93"/>
  <c r="L233" i="93"/>
  <c r="J233" i="93"/>
  <c r="H233" i="93"/>
  <c r="J232" i="93"/>
  <c r="L232" i="93" s="1"/>
  <c r="H232" i="93"/>
  <c r="L231" i="93"/>
  <c r="J231" i="93"/>
  <c r="H231" i="93"/>
  <c r="J230" i="93"/>
  <c r="L230" i="93" s="1"/>
  <c r="H230" i="93"/>
  <c r="L229" i="93"/>
  <c r="H229" i="93"/>
  <c r="L228" i="93"/>
  <c r="H228" i="93"/>
  <c r="I227" i="93"/>
  <c r="I226" i="93" s="1"/>
  <c r="G227" i="93"/>
  <c r="H227" i="93" s="1"/>
  <c r="F227" i="93"/>
  <c r="F226" i="93" s="1"/>
  <c r="E227" i="93"/>
  <c r="E226" i="93" s="1"/>
  <c r="L224" i="93"/>
  <c r="J224" i="93"/>
  <c r="H224" i="93"/>
  <c r="J223" i="93"/>
  <c r="L223" i="93" s="1"/>
  <c r="H223" i="93"/>
  <c r="I222" i="93"/>
  <c r="I221" i="93" s="1"/>
  <c r="G222" i="93"/>
  <c r="F222" i="93"/>
  <c r="E222" i="93"/>
  <c r="E221" i="93" s="1"/>
  <c r="F221" i="93"/>
  <c r="L220" i="93"/>
  <c r="J219" i="93"/>
  <c r="I219" i="93"/>
  <c r="G219" i="93"/>
  <c r="G206" i="93" s="1"/>
  <c r="H206" i="93" s="1"/>
  <c r="F219" i="93"/>
  <c r="E219" i="93"/>
  <c r="L218" i="93"/>
  <c r="H218" i="93"/>
  <c r="L217" i="93"/>
  <c r="J217" i="93"/>
  <c r="H217" i="93"/>
  <c r="J216" i="93"/>
  <c r="L216" i="93" s="1"/>
  <c r="H216" i="93"/>
  <c r="L215" i="93"/>
  <c r="J214" i="93"/>
  <c r="L214" i="93" s="1"/>
  <c r="H214" i="93"/>
  <c r="L213" i="93"/>
  <c r="J212" i="93"/>
  <c r="L212" i="93" s="1"/>
  <c r="H212" i="93"/>
  <c r="L211" i="93"/>
  <c r="J211" i="93"/>
  <c r="H211" i="93"/>
  <c r="L210" i="93"/>
  <c r="H210" i="93"/>
  <c r="L209" i="93"/>
  <c r="L208" i="93"/>
  <c r="J207" i="93"/>
  <c r="I207" i="93"/>
  <c r="I206" i="93" s="1"/>
  <c r="G207" i="93"/>
  <c r="F207" i="93"/>
  <c r="F206" i="93" s="1"/>
  <c r="E207" i="93"/>
  <c r="H207" i="93" s="1"/>
  <c r="E206" i="93"/>
  <c r="J204" i="93"/>
  <c r="L204" i="93" s="1"/>
  <c r="H204" i="93"/>
  <c r="J203" i="93"/>
  <c r="L203" i="93" s="1"/>
  <c r="H203" i="93"/>
  <c r="I202" i="93"/>
  <c r="G202" i="93"/>
  <c r="H202" i="93" s="1"/>
  <c r="F202" i="93"/>
  <c r="F201" i="93" s="1"/>
  <c r="E202" i="93"/>
  <c r="I201" i="93"/>
  <c r="G201" i="93"/>
  <c r="E201" i="93"/>
  <c r="L198" i="93"/>
  <c r="H198" i="93"/>
  <c r="L197" i="93"/>
  <c r="H197" i="93"/>
  <c r="J196" i="93"/>
  <c r="J194" i="93" s="1"/>
  <c r="H196" i="93"/>
  <c r="L195" i="93"/>
  <c r="G195" i="93"/>
  <c r="H195" i="93" s="1"/>
  <c r="I194" i="93"/>
  <c r="I193" i="93" s="1"/>
  <c r="G194" i="93"/>
  <c r="F194" i="93"/>
  <c r="E194" i="93"/>
  <c r="E193" i="93" s="1"/>
  <c r="F193" i="93"/>
  <c r="L192" i="93"/>
  <c r="H192" i="93"/>
  <c r="L191" i="93"/>
  <c r="H191" i="93"/>
  <c r="L190" i="93"/>
  <c r="H190" i="93"/>
  <c r="L189" i="93"/>
  <c r="H189" i="93"/>
  <c r="J188" i="93"/>
  <c r="I188" i="93"/>
  <c r="I187" i="93" s="1"/>
  <c r="G188" i="93"/>
  <c r="F188" i="93"/>
  <c r="L188" i="93" s="1"/>
  <c r="E188" i="93"/>
  <c r="E187" i="93" s="1"/>
  <c r="J187" i="93"/>
  <c r="F187" i="93"/>
  <c r="L186" i="93"/>
  <c r="H186" i="93"/>
  <c r="L185" i="93"/>
  <c r="H185" i="93"/>
  <c r="L184" i="93"/>
  <c r="H184" i="93"/>
  <c r="J183" i="93"/>
  <c r="J182" i="93" s="1"/>
  <c r="I183" i="93"/>
  <c r="I182" i="93" s="1"/>
  <c r="I181" i="93" s="1"/>
  <c r="G183" i="93"/>
  <c r="F183" i="93"/>
  <c r="F182" i="93" s="1"/>
  <c r="F181" i="93" s="1"/>
  <c r="E183" i="93"/>
  <c r="E182" i="93" s="1"/>
  <c r="E181" i="93"/>
  <c r="L180" i="93"/>
  <c r="H180" i="93"/>
  <c r="J179" i="93"/>
  <c r="I179" i="93"/>
  <c r="G179" i="93"/>
  <c r="G176" i="93" s="1"/>
  <c r="F179" i="93"/>
  <c r="E179" i="93"/>
  <c r="L178" i="93"/>
  <c r="J178" i="93"/>
  <c r="J177" i="93" s="1"/>
  <c r="H178" i="93"/>
  <c r="I177" i="93"/>
  <c r="I176" i="93" s="1"/>
  <c r="I175" i="93" s="1"/>
  <c r="G177" i="93"/>
  <c r="F177" i="93"/>
  <c r="E177" i="93"/>
  <c r="H177" i="93" s="1"/>
  <c r="L174" i="93"/>
  <c r="I174" i="93"/>
  <c r="J174" i="93" s="1"/>
  <c r="G174" i="93"/>
  <c r="L173" i="93"/>
  <c r="G173" i="93"/>
  <c r="E172" i="93"/>
  <c r="J169" i="93"/>
  <c r="L169" i="93" s="1"/>
  <c r="L168" i="93"/>
  <c r="J168" i="93"/>
  <c r="H168" i="93"/>
  <c r="J167" i="93"/>
  <c r="L167" i="93" s="1"/>
  <c r="J166" i="93"/>
  <c r="L166" i="93" s="1"/>
  <c r="H166" i="93"/>
  <c r="J165" i="93"/>
  <c r="L165" i="93" s="1"/>
  <c r="H165" i="93"/>
  <c r="I164" i="93"/>
  <c r="I163" i="93" s="1"/>
  <c r="G164" i="93"/>
  <c r="H164" i="93" s="1"/>
  <c r="F164" i="93"/>
  <c r="F163" i="93" s="1"/>
  <c r="E164" i="93"/>
  <c r="G163" i="93"/>
  <c r="E163" i="93"/>
  <c r="L162" i="93"/>
  <c r="H162" i="93"/>
  <c r="J161" i="93"/>
  <c r="H161" i="93"/>
  <c r="I160" i="93"/>
  <c r="I159" i="93" s="1"/>
  <c r="G160" i="93"/>
  <c r="F160" i="93"/>
  <c r="E160" i="93"/>
  <c r="E159" i="93" s="1"/>
  <c r="F159" i="93"/>
  <c r="L158" i="93"/>
  <c r="H158" i="93"/>
  <c r="J157" i="93"/>
  <c r="I157" i="93"/>
  <c r="G157" i="93"/>
  <c r="F157" i="93"/>
  <c r="E157" i="93"/>
  <c r="J156" i="93"/>
  <c r="L156" i="93" s="1"/>
  <c r="H156" i="93"/>
  <c r="J155" i="93"/>
  <c r="L155" i="93" s="1"/>
  <c r="H155" i="93"/>
  <c r="J154" i="93"/>
  <c r="H154" i="93"/>
  <c r="I153" i="93"/>
  <c r="I152" i="93" s="1"/>
  <c r="G153" i="93"/>
  <c r="F153" i="93"/>
  <c r="E153" i="93"/>
  <c r="F152" i="93"/>
  <c r="F151" i="93" s="1"/>
  <c r="J150" i="93"/>
  <c r="L150" i="93" s="1"/>
  <c r="H150" i="93"/>
  <c r="J149" i="93"/>
  <c r="J148" i="93" s="1"/>
  <c r="H149" i="93"/>
  <c r="I148" i="93"/>
  <c r="H148" i="93"/>
  <c r="G148" i="93"/>
  <c r="F148" i="93"/>
  <c r="E148" i="93"/>
  <c r="L147" i="93"/>
  <c r="J147" i="93"/>
  <c r="H147" i="93"/>
  <c r="J146" i="93"/>
  <c r="L146" i="93" s="1"/>
  <c r="H146" i="93"/>
  <c r="L145" i="93"/>
  <c r="J145" i="93"/>
  <c r="H145" i="93"/>
  <c r="J144" i="93"/>
  <c r="H144" i="93"/>
  <c r="I143" i="93"/>
  <c r="I142" i="93" s="1"/>
  <c r="I141" i="93" s="1"/>
  <c r="G143" i="93"/>
  <c r="F143" i="93"/>
  <c r="F142" i="93" s="1"/>
  <c r="F141" i="93" s="1"/>
  <c r="E143" i="93"/>
  <c r="E142" i="93" s="1"/>
  <c r="E141" i="93" s="1"/>
  <c r="J139" i="93"/>
  <c r="L139" i="93" s="1"/>
  <c r="H139" i="93"/>
  <c r="I138" i="93"/>
  <c r="I137" i="93" s="1"/>
  <c r="G138" i="93"/>
  <c r="F138" i="93"/>
  <c r="E138" i="93"/>
  <c r="E137" i="93" s="1"/>
  <c r="F137" i="93"/>
  <c r="L135" i="93"/>
  <c r="H135" i="93"/>
  <c r="L134" i="93"/>
  <c r="J134" i="93"/>
  <c r="J131" i="93" s="1"/>
  <c r="L131" i="93" s="1"/>
  <c r="H134" i="93"/>
  <c r="L133" i="93"/>
  <c r="H133" i="93"/>
  <c r="L132" i="93"/>
  <c r="H132" i="93"/>
  <c r="I131" i="93"/>
  <c r="I130" i="93" s="1"/>
  <c r="I129" i="93" s="1"/>
  <c r="G131" i="93"/>
  <c r="F131" i="93"/>
  <c r="F130" i="93" s="1"/>
  <c r="E131" i="93"/>
  <c r="H131" i="93" s="1"/>
  <c r="G130" i="93"/>
  <c r="L127" i="93"/>
  <c r="J127" i="93"/>
  <c r="H127" i="93"/>
  <c r="G126" i="93"/>
  <c r="G655" i="93" s="1"/>
  <c r="J125" i="93"/>
  <c r="L125" i="93" s="1"/>
  <c r="H125" i="93"/>
  <c r="I124" i="93"/>
  <c r="I123" i="93" s="1"/>
  <c r="G124" i="93"/>
  <c r="H124" i="93" s="1"/>
  <c r="F124" i="93"/>
  <c r="F123" i="93" s="1"/>
  <c r="E124" i="93"/>
  <c r="E123" i="93" s="1"/>
  <c r="L122" i="93"/>
  <c r="L121" i="93"/>
  <c r="H121" i="93"/>
  <c r="G120" i="93"/>
  <c r="G119" i="93" s="1"/>
  <c r="F120" i="93"/>
  <c r="H120" i="93" s="1"/>
  <c r="E120" i="93"/>
  <c r="E119" i="93" s="1"/>
  <c r="J118" i="93"/>
  <c r="H118" i="93"/>
  <c r="J117" i="93"/>
  <c r="L117" i="93" s="1"/>
  <c r="H117" i="93"/>
  <c r="J116" i="93"/>
  <c r="H116" i="93"/>
  <c r="J115" i="93"/>
  <c r="L115" i="93" s="1"/>
  <c r="L114" i="93"/>
  <c r="J114" i="93"/>
  <c r="H114" i="93"/>
  <c r="J113" i="93"/>
  <c r="L113" i="93" s="1"/>
  <c r="H113" i="93"/>
  <c r="J112" i="93"/>
  <c r="L112" i="93" s="1"/>
  <c r="L111" i="93"/>
  <c r="J111" i="93"/>
  <c r="J110" i="93"/>
  <c r="J109" i="93"/>
  <c r="L109" i="93" s="1"/>
  <c r="J108" i="93"/>
  <c r="L108" i="93" s="1"/>
  <c r="H108" i="93"/>
  <c r="J107" i="93"/>
  <c r="L107" i="93" s="1"/>
  <c r="H107" i="93"/>
  <c r="J106" i="93"/>
  <c r="I105" i="93"/>
  <c r="G105" i="93"/>
  <c r="F105" i="93"/>
  <c r="E105" i="93"/>
  <c r="E98" i="93" s="1"/>
  <c r="J104" i="93"/>
  <c r="L104" i="93" s="1"/>
  <c r="J103" i="93"/>
  <c r="L103" i="93" s="1"/>
  <c r="L102" i="93"/>
  <c r="H102" i="93"/>
  <c r="J101" i="93"/>
  <c r="H101" i="93"/>
  <c r="L100" i="93"/>
  <c r="J100" i="93"/>
  <c r="H100" i="93"/>
  <c r="I99" i="93"/>
  <c r="H99" i="93"/>
  <c r="G99" i="93"/>
  <c r="F99" i="93"/>
  <c r="E99" i="93"/>
  <c r="G98" i="93"/>
  <c r="I97" i="93"/>
  <c r="J97" i="93" s="1"/>
  <c r="G97" i="93"/>
  <c r="L96" i="93"/>
  <c r="H96" i="93"/>
  <c r="L95" i="93"/>
  <c r="J95" i="93"/>
  <c r="H95" i="93"/>
  <c r="J94" i="93"/>
  <c r="L94" i="93" s="1"/>
  <c r="I94" i="93"/>
  <c r="I93" i="93" s="1"/>
  <c r="G94" i="93"/>
  <c r="F94" i="93"/>
  <c r="F93" i="93" s="1"/>
  <c r="E94" i="93"/>
  <c r="H94" i="93" s="1"/>
  <c r="G93" i="93"/>
  <c r="E93" i="93"/>
  <c r="L91" i="93"/>
  <c r="H91" i="93"/>
  <c r="L90" i="93"/>
  <c r="H90" i="93"/>
  <c r="J89" i="93"/>
  <c r="L89" i="93" s="1"/>
  <c r="H89" i="93"/>
  <c r="I88" i="93"/>
  <c r="I87" i="93" s="1"/>
  <c r="G88" i="93"/>
  <c r="H88" i="93" s="1"/>
  <c r="F88" i="93"/>
  <c r="F87" i="93" s="1"/>
  <c r="E88" i="93"/>
  <c r="E87" i="93" s="1"/>
  <c r="L86" i="93"/>
  <c r="J86" i="93"/>
  <c r="H86" i="93"/>
  <c r="J85" i="93"/>
  <c r="L85" i="93" s="1"/>
  <c r="J84" i="93"/>
  <c r="L84" i="93" s="1"/>
  <c r="I84" i="93"/>
  <c r="G84" i="93"/>
  <c r="H84" i="93" s="1"/>
  <c r="F84" i="93"/>
  <c r="E84" i="93"/>
  <c r="J83" i="93"/>
  <c r="J82" i="93" s="1"/>
  <c r="I82" i="93"/>
  <c r="G82" i="93"/>
  <c r="F82" i="93"/>
  <c r="E82" i="93"/>
  <c r="E81" i="93" s="1"/>
  <c r="I81" i="93"/>
  <c r="G81" i="93"/>
  <c r="J80" i="93"/>
  <c r="L79" i="93"/>
  <c r="J78" i="93"/>
  <c r="I78" i="93"/>
  <c r="G78" i="93"/>
  <c r="F78" i="93"/>
  <c r="E78" i="93"/>
  <c r="L77" i="93"/>
  <c r="H77" i="93"/>
  <c r="L76" i="93"/>
  <c r="J76" i="93"/>
  <c r="J75" i="93"/>
  <c r="L74" i="93"/>
  <c r="J74" i="93"/>
  <c r="H74" i="93"/>
  <c r="J73" i="93"/>
  <c r="L73" i="93" s="1"/>
  <c r="L72" i="93"/>
  <c r="H72" i="93"/>
  <c r="J71" i="93"/>
  <c r="L71" i="93" s="1"/>
  <c r="H71" i="93"/>
  <c r="L70" i="93"/>
  <c r="J70" i="93"/>
  <c r="J69" i="93"/>
  <c r="L69" i="93" s="1"/>
  <c r="H69" i="93"/>
  <c r="J68" i="93"/>
  <c r="I68" i="93"/>
  <c r="G68" i="93"/>
  <c r="H68" i="93" s="1"/>
  <c r="F68" i="93"/>
  <c r="E68" i="93"/>
  <c r="E67" i="93"/>
  <c r="L65" i="93"/>
  <c r="G64" i="93"/>
  <c r="H64" i="93" s="1"/>
  <c r="F64" i="93"/>
  <c r="L64" i="93" s="1"/>
  <c r="E64" i="93"/>
  <c r="L63" i="93"/>
  <c r="H63" i="93"/>
  <c r="L62" i="93"/>
  <c r="H62" i="93"/>
  <c r="L61" i="93"/>
  <c r="H61" i="93"/>
  <c r="L60" i="93"/>
  <c r="H60" i="93"/>
  <c r="G59" i="93"/>
  <c r="G58" i="93" s="1"/>
  <c r="F59" i="93"/>
  <c r="L59" i="93" s="1"/>
  <c r="E59" i="93"/>
  <c r="E58" i="93" s="1"/>
  <c r="J57" i="93"/>
  <c r="J659" i="93" s="1"/>
  <c r="L659" i="93" s="1"/>
  <c r="I56" i="93"/>
  <c r="I50" i="93" s="1"/>
  <c r="I49" i="93" s="1"/>
  <c r="G56" i="93"/>
  <c r="F56" i="93"/>
  <c r="E56" i="93"/>
  <c r="L55" i="93"/>
  <c r="J54" i="93"/>
  <c r="L54" i="93" s="1"/>
  <c r="L53" i="93"/>
  <c r="L52" i="93"/>
  <c r="J51" i="93"/>
  <c r="I51" i="93"/>
  <c r="G51" i="93"/>
  <c r="F51" i="93"/>
  <c r="F50" i="93" s="1"/>
  <c r="F49" i="93" s="1"/>
  <c r="E51" i="93"/>
  <c r="G50" i="93"/>
  <c r="G49" i="93" s="1"/>
  <c r="J47" i="93"/>
  <c r="L47" i="93" s="1"/>
  <c r="H47" i="93"/>
  <c r="I46" i="93"/>
  <c r="I45" i="93" s="1"/>
  <c r="I44" i="93" s="1"/>
  <c r="G46" i="93"/>
  <c r="F46" i="93"/>
  <c r="E46" i="93"/>
  <c r="E45" i="93" s="1"/>
  <c r="E44" i="93" s="1"/>
  <c r="F45" i="93"/>
  <c r="F44" i="93" s="1"/>
  <c r="J42" i="93"/>
  <c r="L42" i="93" s="1"/>
  <c r="H42" i="93"/>
  <c r="L41" i="93"/>
  <c r="J41" i="93"/>
  <c r="J40" i="93" s="1"/>
  <c r="L40" i="93" s="1"/>
  <c r="H41" i="93"/>
  <c r="I40" i="93"/>
  <c r="I39" i="93" s="1"/>
  <c r="I38" i="93" s="1"/>
  <c r="G40" i="93"/>
  <c r="F40" i="93"/>
  <c r="F39" i="93" s="1"/>
  <c r="F38" i="93" s="1"/>
  <c r="E40" i="93"/>
  <c r="H40" i="93" s="1"/>
  <c r="G39" i="93"/>
  <c r="L36" i="93"/>
  <c r="J36" i="93"/>
  <c r="J35" i="93"/>
  <c r="H35" i="93"/>
  <c r="J34" i="93"/>
  <c r="L34" i="93" s="1"/>
  <c r="I33" i="93"/>
  <c r="G33" i="93"/>
  <c r="H33" i="93" s="1"/>
  <c r="F33" i="93"/>
  <c r="F32" i="93" s="1"/>
  <c r="E33" i="93"/>
  <c r="I32" i="93"/>
  <c r="E32" i="93"/>
  <c r="L31" i="93"/>
  <c r="J30" i="93"/>
  <c r="I30" i="93"/>
  <c r="G30" i="93"/>
  <c r="G24" i="93" s="1"/>
  <c r="H24" i="93" s="1"/>
  <c r="F30" i="93"/>
  <c r="E30" i="93"/>
  <c r="L29" i="93"/>
  <c r="H29" i="93"/>
  <c r="L28" i="93"/>
  <c r="H28" i="93"/>
  <c r="L27" i="93"/>
  <c r="L26" i="93"/>
  <c r="J26" i="93"/>
  <c r="J25" i="93" s="1"/>
  <c r="L25" i="93" s="1"/>
  <c r="H26" i="93"/>
  <c r="I25" i="93"/>
  <c r="G25" i="93"/>
  <c r="H25" i="93" s="1"/>
  <c r="F25" i="93"/>
  <c r="E25" i="93"/>
  <c r="I24" i="93"/>
  <c r="E24" i="93"/>
  <c r="J22" i="93"/>
  <c r="L22" i="93" s="1"/>
  <c r="H22" i="93"/>
  <c r="L21" i="93"/>
  <c r="J21" i="93"/>
  <c r="H21" i="93"/>
  <c r="L20" i="93"/>
  <c r="H20" i="93"/>
  <c r="J19" i="93"/>
  <c r="I19" i="93"/>
  <c r="G19" i="93"/>
  <c r="H19" i="93" s="1"/>
  <c r="F19" i="93"/>
  <c r="F18" i="93" s="1"/>
  <c r="E19" i="93"/>
  <c r="I18" i="93"/>
  <c r="G18" i="93"/>
  <c r="H18" i="93" s="1"/>
  <c r="E18" i="93"/>
  <c r="L17" i="93"/>
  <c r="J16" i="93"/>
  <c r="I16" i="93"/>
  <c r="I11" i="93" s="1"/>
  <c r="I10" i="93" s="1"/>
  <c r="G16" i="93"/>
  <c r="F16" i="93"/>
  <c r="E16" i="93"/>
  <c r="J15" i="93"/>
  <c r="L15" i="93" s="1"/>
  <c r="H15" i="93"/>
  <c r="G14" i="93"/>
  <c r="G656" i="93" s="1"/>
  <c r="L13" i="93"/>
  <c r="J13" i="93"/>
  <c r="H13" i="93"/>
  <c r="I12" i="93"/>
  <c r="G12" i="93"/>
  <c r="F12" i="93"/>
  <c r="E12" i="93"/>
  <c r="F11" i="93"/>
  <c r="E11" i="93"/>
  <c r="E267" i="94" l="1"/>
  <c r="L194" i="93"/>
  <c r="J193" i="93"/>
  <c r="L193" i="93" s="1"/>
  <c r="E337" i="93"/>
  <c r="H337" i="93" s="1"/>
  <c r="F553" i="93"/>
  <c r="H656" i="93"/>
  <c r="E657" i="93"/>
  <c r="E669" i="93" s="1"/>
  <c r="E39" i="93"/>
  <c r="E38" i="93" s="1"/>
  <c r="L57" i="93"/>
  <c r="H58" i="93"/>
  <c r="G67" i="93"/>
  <c r="H67" i="93" s="1"/>
  <c r="H93" i="93"/>
  <c r="H105" i="93"/>
  <c r="J126" i="93"/>
  <c r="L126" i="93" s="1"/>
  <c r="E130" i="93"/>
  <c r="E129" i="93" s="1"/>
  <c r="F129" i="93"/>
  <c r="H143" i="93"/>
  <c r="L149" i="93"/>
  <c r="E152" i="93"/>
  <c r="E176" i="93"/>
  <c r="E175" i="93" s="1"/>
  <c r="L183" i="93"/>
  <c r="L187" i="93"/>
  <c r="L196" i="93"/>
  <c r="I200" i="93"/>
  <c r="H262" i="93"/>
  <c r="H288" i="93"/>
  <c r="L289" i="93"/>
  <c r="G293" i="93"/>
  <c r="L309" i="93"/>
  <c r="E323" i="93"/>
  <c r="E292" i="93" s="1"/>
  <c r="E350" i="93"/>
  <c r="H368" i="93"/>
  <c r="E398" i="93"/>
  <c r="J398" i="93"/>
  <c r="L398" i="93" s="1"/>
  <c r="J426" i="93"/>
  <c r="F433" i="93"/>
  <c r="L433" i="93" s="1"/>
  <c r="G433" i="93"/>
  <c r="H433" i="93" s="1"/>
  <c r="I443" i="93"/>
  <c r="I407" i="93" s="1"/>
  <c r="L449" i="93"/>
  <c r="E459" i="93"/>
  <c r="I460" i="93"/>
  <c r="L491" i="93"/>
  <c r="L497" i="93"/>
  <c r="F532" i="93"/>
  <c r="J548" i="93"/>
  <c r="J547" i="93" s="1"/>
  <c r="L547" i="93" s="1"/>
  <c r="L585" i="93"/>
  <c r="F598" i="93"/>
  <c r="E603" i="93"/>
  <c r="E612" i="93"/>
  <c r="E584" i="93" s="1"/>
  <c r="F617" i="93"/>
  <c r="I631" i="93"/>
  <c r="E636" i="93"/>
  <c r="E635" i="93" s="1"/>
  <c r="F2390" i="94"/>
  <c r="G2390" i="94" s="1"/>
  <c r="F2362" i="94"/>
  <c r="G2362" i="94" s="1"/>
  <c r="F722" i="94"/>
  <c r="E1624" i="94"/>
  <c r="G616" i="94"/>
  <c r="F615" i="94"/>
  <c r="G615" i="94" s="1"/>
  <c r="G655" i="94"/>
  <c r="F654" i="94"/>
  <c r="G654" i="94" s="1"/>
  <c r="E781" i="94"/>
  <c r="E654" i="93"/>
  <c r="H14" i="93"/>
  <c r="F657" i="93"/>
  <c r="F669" i="93" s="1"/>
  <c r="F24" i="93"/>
  <c r="F10" i="93" s="1"/>
  <c r="J33" i="93"/>
  <c r="L33" i="93" s="1"/>
  <c r="L35" i="93"/>
  <c r="H39" i="93"/>
  <c r="H46" i="93"/>
  <c r="F58" i="93"/>
  <c r="L58" i="93" s="1"/>
  <c r="L75" i="93"/>
  <c r="I67" i="93"/>
  <c r="F81" i="93"/>
  <c r="L83" i="93"/>
  <c r="F98" i="93"/>
  <c r="J99" i="93"/>
  <c r="I98" i="93"/>
  <c r="I66" i="93" s="1"/>
  <c r="H138" i="93"/>
  <c r="H222" i="93"/>
  <c r="F239" i="93"/>
  <c r="F200" i="93" s="1"/>
  <c r="L277" i="93"/>
  <c r="I280" i="93"/>
  <c r="H350" i="93"/>
  <c r="H360" i="93"/>
  <c r="H439" i="93"/>
  <c r="I459" i="93"/>
  <c r="G598" i="93"/>
  <c r="E598" i="93"/>
  <c r="I617" i="93"/>
  <c r="I584" i="93" s="1"/>
  <c r="E623" i="93"/>
  <c r="E665" i="93"/>
  <c r="E666" i="93" s="1"/>
  <c r="H659" i="93"/>
  <c r="F1233" i="94"/>
  <c r="F2611" i="94"/>
  <c r="G2611" i="94" s="1"/>
  <c r="G2406" i="94"/>
  <c r="F2405" i="94"/>
  <c r="G2405" i="94" s="1"/>
  <c r="G1654" i="94"/>
  <c r="F1653" i="94"/>
  <c r="G1653" i="94" s="1"/>
  <c r="G422" i="94"/>
  <c r="F421" i="94"/>
  <c r="I657" i="93"/>
  <c r="I547" i="93"/>
  <c r="E10" i="93"/>
  <c r="F654" i="93"/>
  <c r="G657" i="93"/>
  <c r="L19" i="93"/>
  <c r="E50" i="93"/>
  <c r="E49" i="93" s="1"/>
  <c r="F67" i="93"/>
  <c r="L68" i="93"/>
  <c r="H81" i="93"/>
  <c r="E200" i="93"/>
  <c r="H276" i="93"/>
  <c r="J288" i="93"/>
  <c r="F297" i="93"/>
  <c r="F292" i="93" s="1"/>
  <c r="L308" i="93"/>
  <c r="E311" i="93"/>
  <c r="I398" i="93"/>
  <c r="H438" i="93"/>
  <c r="F459" i="93"/>
  <c r="J529" i="93"/>
  <c r="L529" i="93" s="1"/>
  <c r="J598" i="93"/>
  <c r="L598" i="93" s="1"/>
  <c r="E617" i="93"/>
  <c r="E668" i="93"/>
  <c r="F1749" i="94"/>
  <c r="F657" i="94"/>
  <c r="G657" i="94" s="1"/>
  <c r="G2043" i="94"/>
  <c r="F2042" i="94"/>
  <c r="G2042" i="94" s="1"/>
  <c r="G2238" i="94"/>
  <c r="F2237" i="94"/>
  <c r="G2237" i="94" s="1"/>
  <c r="F942" i="94"/>
  <c r="G942" i="94" s="1"/>
  <c r="G2588" i="94"/>
  <c r="F2587" i="94"/>
  <c r="G2587" i="94" s="1"/>
  <c r="G2420" i="94"/>
  <c r="F2419" i="94"/>
  <c r="G2278" i="94"/>
  <c r="F2277" i="94"/>
  <c r="G2277" i="94" s="1"/>
  <c r="G2225" i="94"/>
  <c r="F2220" i="94"/>
  <c r="F2258" i="94"/>
  <c r="G2259" i="94"/>
  <c r="F1690" i="94"/>
  <c r="G1691" i="94"/>
  <c r="F1753" i="94"/>
  <c r="G1754" i="94"/>
  <c r="G1532" i="94"/>
  <c r="F1531" i="94"/>
  <c r="G1531" i="94" s="1"/>
  <c r="G1402" i="94"/>
  <c r="F1401" i="94"/>
  <c r="G1401" i="94" s="1"/>
  <c r="G1696" i="94"/>
  <c r="F1695" i="94"/>
  <c r="G1257" i="94"/>
  <c r="F1256" i="94"/>
  <c r="G1256" i="94" s="1"/>
  <c r="G1186" i="94"/>
  <c r="F1185" i="94"/>
  <c r="G1137" i="94"/>
  <c r="F1136" i="94"/>
  <c r="G1136" i="94" s="1"/>
  <c r="G926" i="94"/>
  <c r="F925" i="94"/>
  <c r="E2603" i="94"/>
  <c r="E2601" i="94" s="1"/>
  <c r="E2600" i="94" s="1"/>
  <c r="E2614" i="94" s="1"/>
  <c r="F584" i="94"/>
  <c r="G585" i="94"/>
  <c r="G167" i="94"/>
  <c r="F159" i="94"/>
  <c r="G335" i="94"/>
  <c r="F334" i="94"/>
  <c r="F2605" i="94"/>
  <c r="G2605" i="94" s="1"/>
  <c r="F2372" i="94"/>
  <c r="G2373" i="94"/>
  <c r="F2409" i="94"/>
  <c r="G2410" i="94"/>
  <c r="G2379" i="94"/>
  <c r="F2378" i="94"/>
  <c r="G2378" i="94" s="1"/>
  <c r="F2159" i="94"/>
  <c r="G2160" i="94"/>
  <c r="F2569" i="94"/>
  <c r="G2570" i="94"/>
  <c r="G2129" i="94"/>
  <c r="F2128" i="94"/>
  <c r="G2128" i="94" s="1"/>
  <c r="G2192" i="94"/>
  <c r="F2191" i="94"/>
  <c r="F2013" i="94"/>
  <c r="G2014" i="94"/>
  <c r="F1703" i="94"/>
  <c r="G1703" i="94" s="1"/>
  <c r="G1704" i="94"/>
  <c r="F1803" i="94"/>
  <c r="G1804" i="94"/>
  <c r="G1670" i="94"/>
  <c r="F1669" i="94"/>
  <c r="G1669" i="94" s="1"/>
  <c r="G1628" i="94"/>
  <c r="F1627" i="94"/>
  <c r="G1592" i="94"/>
  <c r="F1591" i="94"/>
  <c r="G1591" i="94" s="1"/>
  <c r="F1562" i="94"/>
  <c r="G1563" i="94"/>
  <c r="G1493" i="94"/>
  <c r="F1492" i="94"/>
  <c r="G1321" i="94"/>
  <c r="F1320" i="94"/>
  <c r="G1252" i="94"/>
  <c r="G1813" i="94"/>
  <c r="F1812" i="94"/>
  <c r="G1812" i="94" s="1"/>
  <c r="G994" i="94"/>
  <c r="F993" i="94"/>
  <c r="G993" i="94" s="1"/>
  <c r="G903" i="94"/>
  <c r="F902" i="94"/>
  <c r="G902" i="94" s="1"/>
  <c r="G806" i="94"/>
  <c r="F802" i="94"/>
  <c r="G1262" i="94"/>
  <c r="F1261" i="94"/>
  <c r="F784" i="94"/>
  <c r="G785" i="94"/>
  <c r="F1201" i="94"/>
  <c r="G1202" i="94"/>
  <c r="F821" i="94"/>
  <c r="G822" i="94"/>
  <c r="F1303" i="94"/>
  <c r="G1304" i="94"/>
  <c r="G1197" i="94"/>
  <c r="F1196" i="94"/>
  <c r="G1196" i="94" s="1"/>
  <c r="G1024" i="94"/>
  <c r="F1023" i="94"/>
  <c r="G937" i="94"/>
  <c r="F936" i="94"/>
  <c r="G722" i="94"/>
  <c r="F721" i="94"/>
  <c r="G217" i="94"/>
  <c r="F216" i="94"/>
  <c r="F497" i="94"/>
  <c r="G497" i="94" s="1"/>
  <c r="G498" i="94"/>
  <c r="G1042" i="94"/>
  <c r="F1041" i="94"/>
  <c r="G444" i="94"/>
  <c r="F443" i="94"/>
  <c r="F2604" i="94"/>
  <c r="G2604" i="94" s="1"/>
  <c r="G144" i="94"/>
  <c r="F2610" i="94"/>
  <c r="G45" i="94"/>
  <c r="F44" i="94"/>
  <c r="G44" i="94" s="1"/>
  <c r="F542" i="94"/>
  <c r="G542" i="94" s="1"/>
  <c r="G543" i="94"/>
  <c r="G140" i="94"/>
  <c r="F139" i="94"/>
  <c r="G75" i="94"/>
  <c r="F74" i="94"/>
  <c r="G432" i="94"/>
  <c r="F430" i="94"/>
  <c r="F183" i="94"/>
  <c r="G184" i="94"/>
  <c r="F458" i="94"/>
  <c r="G458" i="94" s="1"/>
  <c r="G459" i="94"/>
  <c r="G418" i="94"/>
  <c r="F417" i="94"/>
  <c r="G301" i="94"/>
  <c r="F300" i="94"/>
  <c r="G300" i="94" s="1"/>
  <c r="G50" i="94"/>
  <c r="F49" i="94"/>
  <c r="F2507" i="94"/>
  <c r="G2508" i="94"/>
  <c r="G2263" i="94"/>
  <c r="F2262" i="94"/>
  <c r="G1914" i="94"/>
  <c r="F1913" i="94"/>
  <c r="F1657" i="94"/>
  <c r="G1658" i="94"/>
  <c r="F1217" i="94"/>
  <c r="G1218" i="94"/>
  <c r="F321" i="94"/>
  <c r="G326" i="94"/>
  <c r="G2549" i="94"/>
  <c r="F2545" i="94"/>
  <c r="G2415" i="94"/>
  <c r="F2414" i="94"/>
  <c r="G2414" i="94" s="1"/>
  <c r="F2591" i="94"/>
  <c r="G2592" i="94"/>
  <c r="F2389" i="94"/>
  <c r="G2389" i="94" s="1"/>
  <c r="G2445" i="94"/>
  <c r="F2444" i="94"/>
  <c r="G2444" i="94" s="1"/>
  <c r="G1675" i="94"/>
  <c r="F1674" i="94"/>
  <c r="F2560" i="94"/>
  <c r="G2561" i="94"/>
  <c r="G2426" i="94"/>
  <c r="F2425" i="94"/>
  <c r="G2425" i="94" s="1"/>
  <c r="G2288" i="94"/>
  <c r="F2282" i="94"/>
  <c r="G2273" i="94"/>
  <c r="F2267" i="94"/>
  <c r="F2243" i="94"/>
  <c r="G2244" i="94"/>
  <c r="F2354" i="94"/>
  <c r="G2355" i="94"/>
  <c r="G2299" i="94"/>
  <c r="F2293" i="94"/>
  <c r="G1926" i="94"/>
  <c r="F1925" i="94"/>
  <c r="G2315" i="94"/>
  <c r="F2314" i="94"/>
  <c r="F2134" i="94"/>
  <c r="G2135" i="94"/>
  <c r="F1920" i="94"/>
  <c r="G1920" i="94" s="1"/>
  <c r="G1921" i="94"/>
  <c r="G1749" i="94"/>
  <c r="F1748" i="94"/>
  <c r="F2002" i="94"/>
  <c r="G2002" i="94" s="1"/>
  <c r="G2003" i="94"/>
  <c r="G1757" i="94"/>
  <c r="F1756" i="94"/>
  <c r="G1756" i="94" s="1"/>
  <c r="G1714" i="94"/>
  <c r="F1713" i="94"/>
  <c r="F1661" i="94"/>
  <c r="G1661" i="94" s="1"/>
  <c r="G1662" i="94"/>
  <c r="G1636" i="94"/>
  <c r="F1635" i="94"/>
  <c r="G1635" i="94" s="1"/>
  <c r="G1601" i="94"/>
  <c r="F1600" i="94"/>
  <c r="F1799" i="94"/>
  <c r="G1799" i="94" s="1"/>
  <c r="G1800" i="94"/>
  <c r="G1709" i="94"/>
  <c r="F1708" i="94"/>
  <c r="G1481" i="94"/>
  <c r="F1480" i="94"/>
  <c r="G1480" i="94" s="1"/>
  <c r="F2120" i="94"/>
  <c r="G2120" i="94" s="1"/>
  <c r="G2121" i="94"/>
  <c r="G1808" i="94"/>
  <c r="F1807" i="94"/>
  <c r="G1666" i="94"/>
  <c r="F1665" i="94"/>
  <c r="G1408" i="94"/>
  <c r="F1407" i="94"/>
  <c r="F1345" i="94"/>
  <c r="G1346" i="94"/>
  <c r="F1247" i="94"/>
  <c r="G1247" i="94" s="1"/>
  <c r="G1248" i="94"/>
  <c r="G1210" i="94"/>
  <c r="F1209" i="94"/>
  <c r="F708" i="94"/>
  <c r="G709" i="94"/>
  <c r="G687" i="94"/>
  <c r="F686" i="94"/>
  <c r="G686" i="94" s="1"/>
  <c r="G1233" i="94"/>
  <c r="F1232" i="94"/>
  <c r="G1189" i="94"/>
  <c r="G713" i="94"/>
  <c r="F712" i="94"/>
  <c r="G259" i="94"/>
  <c r="F258" i="94"/>
  <c r="F620" i="94"/>
  <c r="G621" i="94"/>
  <c r="G149" i="94"/>
  <c r="F148" i="94"/>
  <c r="G148" i="94" s="1"/>
  <c r="F408" i="94"/>
  <c r="G408" i="94" s="1"/>
  <c r="F2602" i="94"/>
  <c r="G14" i="94"/>
  <c r="F13" i="94"/>
  <c r="G383" i="94"/>
  <c r="F382" i="94"/>
  <c r="G382" i="94" s="1"/>
  <c r="G296" i="94"/>
  <c r="F295" i="94"/>
  <c r="F2432" i="94"/>
  <c r="G2433" i="94"/>
  <c r="G2331" i="94"/>
  <c r="F2330" i="94"/>
  <c r="G2330" i="94" s="1"/>
  <c r="G2503" i="94"/>
  <c r="F2502" i="94"/>
  <c r="G2360" i="94"/>
  <c r="F2359" i="94"/>
  <c r="G2359" i="94" s="1"/>
  <c r="G2305" i="94"/>
  <c r="F2304" i="94"/>
  <c r="F1739" i="94"/>
  <c r="G1739" i="94" s="1"/>
  <c r="G1740" i="94"/>
  <c r="G1547" i="94"/>
  <c r="F1546" i="94"/>
  <c r="G1826" i="94"/>
  <c r="F1825" i="94"/>
  <c r="G1685" i="94"/>
  <c r="F1684" i="94"/>
  <c r="G1684" i="94" s="1"/>
  <c r="G1213" i="94"/>
  <c r="F1212" i="94"/>
  <c r="G1212" i="94" s="1"/>
  <c r="G578" i="94"/>
  <c r="F577" i="94"/>
  <c r="G577" i="94" s="1"/>
  <c r="G574" i="94"/>
  <c r="F573" i="94"/>
  <c r="G2564" i="94"/>
  <c r="F2563" i="94"/>
  <c r="G2563" i="94" s="1"/>
  <c r="G2449" i="94"/>
  <c r="F2448" i="94"/>
  <c r="F2336" i="94"/>
  <c r="G2487" i="94"/>
  <c r="F2486" i="94"/>
  <c r="G2486" i="94" s="1"/>
  <c r="G2401" i="94"/>
  <c r="F2400" i="94"/>
  <c r="G2143" i="94"/>
  <c r="F2139" i="94"/>
  <c r="F2179" i="94"/>
  <c r="G2179" i="94" s="1"/>
  <c r="G2180" i="94"/>
  <c r="G2124" i="94"/>
  <c r="F2123" i="94"/>
  <c r="G2123" i="94" s="1"/>
  <c r="F2071" i="94"/>
  <c r="G2072" i="94"/>
  <c r="F2096" i="94"/>
  <c r="G2097" i="94"/>
  <c r="G1899" i="94"/>
  <c r="F1898" i="94"/>
  <c r="G1898" i="94" s="1"/>
  <c r="G1682" i="94"/>
  <c r="F1681" i="94"/>
  <c r="G1681" i="94" s="1"/>
  <c r="G1646" i="94"/>
  <c r="F1645" i="94"/>
  <c r="F1821" i="94"/>
  <c r="G1822" i="94"/>
  <c r="G1762" i="94"/>
  <c r="F1761" i="94"/>
  <c r="G1724" i="94"/>
  <c r="F1723" i="94"/>
  <c r="G1642" i="94"/>
  <c r="F1641" i="94"/>
  <c r="F1620" i="94"/>
  <c r="G1620" i="94" s="1"/>
  <c r="G1621" i="94"/>
  <c r="G2050" i="94"/>
  <c r="F2049" i="94"/>
  <c r="G1616" i="94"/>
  <c r="F1611" i="94"/>
  <c r="F1325" i="94"/>
  <c r="G1326" i="94"/>
  <c r="G1229" i="94"/>
  <c r="F1228" i="94"/>
  <c r="G1019" i="94"/>
  <c r="F1018" i="94"/>
  <c r="G1018" i="94" s="1"/>
  <c r="F1243" i="94"/>
  <c r="G1244" i="94"/>
  <c r="G1194" i="94"/>
  <c r="F1193" i="94"/>
  <c r="G1193" i="94" s="1"/>
  <c r="G1051" i="94"/>
  <c r="G1009" i="94"/>
  <c r="F1008" i="94"/>
  <c r="F920" i="94"/>
  <c r="G921" i="94"/>
  <c r="F668" i="94"/>
  <c r="G669" i="94"/>
  <c r="F1295" i="94"/>
  <c r="G1296" i="94"/>
  <c r="F1224" i="94"/>
  <c r="G1224" i="94" s="1"/>
  <c r="G1225" i="94"/>
  <c r="F425" i="94"/>
  <c r="G426" i="94"/>
  <c r="G503" i="94"/>
  <c r="F502" i="94"/>
  <c r="G239" i="94"/>
  <c r="F238" i="94"/>
  <c r="G238" i="94" s="1"/>
  <c r="F2603" i="94"/>
  <c r="G21" i="94"/>
  <c r="G468" i="94"/>
  <c r="F467" i="94"/>
  <c r="G343" i="94"/>
  <c r="F342" i="94"/>
  <c r="E464" i="94"/>
  <c r="G155" i="94"/>
  <c r="F154" i="94"/>
  <c r="F2606" i="94"/>
  <c r="G2606" i="94" s="1"/>
  <c r="G104" i="94"/>
  <c r="F103" i="94"/>
  <c r="F549" i="94"/>
  <c r="G551" i="94"/>
  <c r="G271" i="94"/>
  <c r="F270" i="94"/>
  <c r="E66" i="93"/>
  <c r="H98" i="93"/>
  <c r="J81" i="93"/>
  <c r="L82" i="93"/>
  <c r="L99" i="93"/>
  <c r="E662" i="93"/>
  <c r="J14" i="93"/>
  <c r="J18" i="93"/>
  <c r="L18" i="93" s="1"/>
  <c r="G38" i="93"/>
  <c r="H38" i="93" s="1"/>
  <c r="J46" i="93"/>
  <c r="J56" i="93"/>
  <c r="L56" i="93" s="1"/>
  <c r="H59" i="93"/>
  <c r="J67" i="93"/>
  <c r="J658" i="93"/>
  <c r="L658" i="93" s="1"/>
  <c r="J88" i="93"/>
  <c r="L116" i="93"/>
  <c r="F119" i="93"/>
  <c r="L119" i="93" s="1"/>
  <c r="L120" i="93"/>
  <c r="J124" i="93"/>
  <c r="J130" i="93"/>
  <c r="G137" i="93"/>
  <c r="H137" i="93" s="1"/>
  <c r="G142" i="93"/>
  <c r="H153" i="93"/>
  <c r="G152" i="93"/>
  <c r="L154" i="93"/>
  <c r="J153" i="93"/>
  <c r="G172" i="93"/>
  <c r="I172" i="93" s="1"/>
  <c r="J172" i="93" s="1"/>
  <c r="L172" i="93" s="1"/>
  <c r="E171" i="93"/>
  <c r="H176" i="93"/>
  <c r="G175" i="93"/>
  <c r="H175" i="93" s="1"/>
  <c r="F176" i="93"/>
  <c r="F175" i="93" s="1"/>
  <c r="L177" i="93"/>
  <c r="J176" i="93"/>
  <c r="H183" i="93"/>
  <c r="G182" i="93"/>
  <c r="H194" i="93"/>
  <c r="G193" i="93"/>
  <c r="H193" i="93" s="1"/>
  <c r="L207" i="93"/>
  <c r="J206" i="93"/>
  <c r="L206" i="93" s="1"/>
  <c r="J240" i="93"/>
  <c r="F666" i="93"/>
  <c r="F662" i="93"/>
  <c r="H655" i="93"/>
  <c r="G665" i="93"/>
  <c r="L148" i="93"/>
  <c r="L182" i="93"/>
  <c r="J181" i="93"/>
  <c r="L181" i="93" s="1"/>
  <c r="J24" i="93"/>
  <c r="J32" i="93"/>
  <c r="L32" i="93" s="1"/>
  <c r="J39" i="93"/>
  <c r="G45" i="93"/>
  <c r="L51" i="93"/>
  <c r="G87" i="93"/>
  <c r="H87" i="93" s="1"/>
  <c r="J93" i="93"/>
  <c r="L93" i="93" s="1"/>
  <c r="L101" i="93"/>
  <c r="J105" i="93"/>
  <c r="L105" i="93" s="1"/>
  <c r="L118" i="93"/>
  <c r="G123" i="93"/>
  <c r="H123" i="93" s="1"/>
  <c r="H126" i="93"/>
  <c r="G129" i="93"/>
  <c r="J138" i="93"/>
  <c r="H160" i="93"/>
  <c r="G159" i="93"/>
  <c r="H159" i="93" s="1"/>
  <c r="L161" i="93"/>
  <c r="J160" i="93"/>
  <c r="H163" i="93"/>
  <c r="J164" i="93"/>
  <c r="H201" i="93"/>
  <c r="J202" i="93"/>
  <c r="G11" i="93"/>
  <c r="H12" i="93"/>
  <c r="H657" i="93"/>
  <c r="G32" i="93"/>
  <c r="H32" i="93" s="1"/>
  <c r="L144" i="93"/>
  <c r="J143" i="93"/>
  <c r="H188" i="93"/>
  <c r="G187" i="93"/>
  <c r="H187" i="93" s="1"/>
  <c r="L288" i="93"/>
  <c r="J287" i="93"/>
  <c r="L287" i="93" s="1"/>
  <c r="G221" i="93"/>
  <c r="H221" i="93" s="1"/>
  <c r="G226" i="93"/>
  <c r="H226" i="93" s="1"/>
  <c r="J236" i="93"/>
  <c r="L241" i="93"/>
  <c r="L265" i="93"/>
  <c r="J282" i="93"/>
  <c r="H293" i="93"/>
  <c r="H298" i="93"/>
  <c r="L313" i="93"/>
  <c r="J311" i="93"/>
  <c r="L311" i="93" s="1"/>
  <c r="L317" i="93"/>
  <c r="I349" i="93"/>
  <c r="H356" i="93"/>
  <c r="G355" i="93"/>
  <c r="H355" i="93" s="1"/>
  <c r="L420" i="93"/>
  <c r="F275" i="93"/>
  <c r="L304" i="93"/>
  <c r="J303" i="93"/>
  <c r="L303" i="93" s="1"/>
  <c r="L345" i="93"/>
  <c r="J344" i="93"/>
  <c r="L344" i="93" s="1"/>
  <c r="L426" i="93"/>
  <c r="J424" i="93"/>
  <c r="L424" i="93" s="1"/>
  <c r="J222" i="93"/>
  <c r="J227" i="93"/>
  <c r="G235" i="93"/>
  <c r="H235" i="93" s="1"/>
  <c r="G240" i="93"/>
  <c r="J262" i="93"/>
  <c r="L262" i="93" s="1"/>
  <c r="G275" i="93"/>
  <c r="H282" i="93"/>
  <c r="G281" i="93"/>
  <c r="L295" i="93"/>
  <c r="J294" i="93"/>
  <c r="J301" i="93"/>
  <c r="H311" i="93"/>
  <c r="J315" i="93"/>
  <c r="L315" i="93" s="1"/>
  <c r="H319" i="93"/>
  <c r="L320" i="93"/>
  <c r="J319" i="93"/>
  <c r="L319" i="93" s="1"/>
  <c r="J330" i="93"/>
  <c r="L330" i="93" s="1"/>
  <c r="H344" i="93"/>
  <c r="E349" i="93"/>
  <c r="F349" i="93"/>
  <c r="L351" i="93"/>
  <c r="J350" i="93"/>
  <c r="J369" i="93"/>
  <c r="H386" i="93"/>
  <c r="L290" i="93"/>
  <c r="H324" i="93"/>
  <c r="G323" i="93"/>
  <c r="H323" i="93" s="1"/>
  <c r="L325" i="93"/>
  <c r="J324" i="93"/>
  <c r="L365" i="93"/>
  <c r="J360" i="93"/>
  <c r="L462" i="93"/>
  <c r="J461" i="93"/>
  <c r="H466" i="93"/>
  <c r="G465" i="93"/>
  <c r="L545" i="93"/>
  <c r="J544" i="93"/>
  <c r="L569" i="93"/>
  <c r="J568" i="93"/>
  <c r="L568" i="93" s="1"/>
  <c r="H592" i="93"/>
  <c r="G591" i="93"/>
  <c r="L613" i="93"/>
  <c r="F612" i="93"/>
  <c r="L612" i="93" s="1"/>
  <c r="I338" i="93"/>
  <c r="I337" i="93" s="1"/>
  <c r="I292" i="93" s="1"/>
  <c r="J386" i="93"/>
  <c r="L399" i="93"/>
  <c r="L427" i="93"/>
  <c r="G429" i="93"/>
  <c r="H429" i="93" s="1"/>
  <c r="H434" i="93"/>
  <c r="G443" i="93"/>
  <c r="H443" i="93" s="1"/>
  <c r="J452" i="93"/>
  <c r="H502" i="93"/>
  <c r="G501" i="93"/>
  <c r="L503" i="93"/>
  <c r="J502" i="93"/>
  <c r="H517" i="93"/>
  <c r="J518" i="93"/>
  <c r="L537" i="93"/>
  <c r="I536" i="93"/>
  <c r="E553" i="93"/>
  <c r="L619" i="93"/>
  <c r="J618" i="93"/>
  <c r="J412" i="93"/>
  <c r="L422" i="93"/>
  <c r="L448" i="93"/>
  <c r="J466" i="93"/>
  <c r="I495" i="93"/>
  <c r="L532" i="93"/>
  <c r="F531" i="93"/>
  <c r="L531" i="93" s="1"/>
  <c r="H533" i="93"/>
  <c r="G532" i="93"/>
  <c r="L548" i="93"/>
  <c r="H618" i="93"/>
  <c r="G617" i="93"/>
  <c r="H617" i="93" s="1"/>
  <c r="L633" i="93"/>
  <c r="J632" i="93"/>
  <c r="J341" i="93"/>
  <c r="G359" i="93"/>
  <c r="H359" i="93" s="1"/>
  <c r="G385" i="93"/>
  <c r="H385" i="93" s="1"/>
  <c r="F438" i="93"/>
  <c r="L438" i="93" s="1"/>
  <c r="J444" i="93"/>
  <c r="H452" i="93"/>
  <c r="G451" i="93"/>
  <c r="H451" i="93" s="1"/>
  <c r="J457" i="93"/>
  <c r="L457" i="93" s="1"/>
  <c r="H477" i="93"/>
  <c r="G476" i="93"/>
  <c r="H476" i="93" s="1"/>
  <c r="L478" i="93"/>
  <c r="J477" i="93"/>
  <c r="J496" i="93"/>
  <c r="L496" i="93" s="1"/>
  <c r="E495" i="93"/>
  <c r="H505" i="93"/>
  <c r="J506" i="93"/>
  <c r="E536" i="93"/>
  <c r="H554" i="93"/>
  <c r="H555" i="93"/>
  <c r="H632" i="93"/>
  <c r="G631" i="93"/>
  <c r="H631" i="93" s="1"/>
  <c r="I635" i="93"/>
  <c r="L651" i="93"/>
  <c r="J646" i="93"/>
  <c r="H544" i="93"/>
  <c r="G543" i="93"/>
  <c r="H548" i="93"/>
  <c r="G547" i="93"/>
  <c r="H547" i="93" s="1"/>
  <c r="H568" i="93"/>
  <c r="H575" i="93"/>
  <c r="G574" i="93"/>
  <c r="H574" i="93" s="1"/>
  <c r="L576" i="93"/>
  <c r="J575" i="93"/>
  <c r="L591" i="93"/>
  <c r="L622" i="93"/>
  <c r="J621" i="93"/>
  <c r="L621" i="93" s="1"/>
  <c r="H601" i="93"/>
  <c r="H604" i="93"/>
  <c r="G603" i="93"/>
  <c r="H603" i="93" s="1"/>
  <c r="L624" i="93"/>
  <c r="F623" i="93"/>
  <c r="L623" i="93" s="1"/>
  <c r="L556" i="93"/>
  <c r="J555" i="93"/>
  <c r="H561" i="93"/>
  <c r="G560" i="93"/>
  <c r="H560" i="93" s="1"/>
  <c r="L562" i="93"/>
  <c r="J561" i="93"/>
  <c r="H586" i="93"/>
  <c r="G585" i="93"/>
  <c r="H585" i="93" s="1"/>
  <c r="F584" i="93"/>
  <c r="L596" i="93"/>
  <c r="H615" i="93"/>
  <c r="G623" i="93"/>
  <c r="H623" i="93" s="1"/>
  <c r="H636" i="93"/>
  <c r="G635" i="93"/>
  <c r="H635" i="93" s="1"/>
  <c r="L637" i="93"/>
  <c r="J636" i="93"/>
  <c r="G646" i="93"/>
  <c r="G645" i="93" s="1"/>
  <c r="G668" i="93"/>
  <c r="H668" i="93" s="1"/>
  <c r="E2597" i="94" l="1"/>
  <c r="E2615" i="94" s="1"/>
  <c r="H612" i="93"/>
  <c r="H129" i="93"/>
  <c r="L24" i="93"/>
  <c r="H665" i="93"/>
  <c r="G2603" i="94"/>
  <c r="G553" i="93"/>
  <c r="H553" i="93" s="1"/>
  <c r="L81" i="93"/>
  <c r="G421" i="94"/>
  <c r="F420" i="94"/>
  <c r="G420" i="94" s="1"/>
  <c r="H130" i="93"/>
  <c r="F424" i="94"/>
  <c r="G424" i="94" s="1"/>
  <c r="G425" i="94"/>
  <c r="F1294" i="94"/>
  <c r="G1294" i="94" s="1"/>
  <c r="G1295" i="94"/>
  <c r="F919" i="94"/>
  <c r="G919" i="94" s="1"/>
  <c r="G920" i="94"/>
  <c r="G2049" i="94"/>
  <c r="F2048" i="94"/>
  <c r="G1641" i="94"/>
  <c r="F1640" i="94"/>
  <c r="G1640" i="94" s="1"/>
  <c r="G1761" i="94"/>
  <c r="F1760" i="94"/>
  <c r="G1645" i="94"/>
  <c r="F1644" i="94"/>
  <c r="G1644" i="94" s="1"/>
  <c r="G2400" i="94"/>
  <c r="F2399" i="94"/>
  <c r="G2399" i="94" s="1"/>
  <c r="F2335" i="94"/>
  <c r="G2336" i="94"/>
  <c r="F2431" i="94"/>
  <c r="G2432" i="94"/>
  <c r="F619" i="94"/>
  <c r="G620" i="94"/>
  <c r="F707" i="94"/>
  <c r="G708" i="94"/>
  <c r="F2242" i="94"/>
  <c r="G2243" i="94"/>
  <c r="G2560" i="94"/>
  <c r="F2556" i="94"/>
  <c r="F2590" i="94"/>
  <c r="G2590" i="94" s="1"/>
  <c r="G2591" i="94"/>
  <c r="F1216" i="94"/>
  <c r="G1217" i="94"/>
  <c r="F2506" i="94"/>
  <c r="G2507" i="94"/>
  <c r="F820" i="94"/>
  <c r="G821" i="94"/>
  <c r="F783" i="94"/>
  <c r="G784" i="94"/>
  <c r="F2568" i="94"/>
  <c r="G2569" i="94"/>
  <c r="F2371" i="94"/>
  <c r="G2371" i="94" s="1"/>
  <c r="G2372" i="94"/>
  <c r="F583" i="94"/>
  <c r="G584" i="94"/>
  <c r="G2448" i="94"/>
  <c r="F2447" i="94"/>
  <c r="G2447" i="94" s="1"/>
  <c r="G573" i="94"/>
  <c r="F572" i="94"/>
  <c r="G572" i="94" s="1"/>
  <c r="G295" i="94"/>
  <c r="F294" i="94"/>
  <c r="G294" i="94" s="1"/>
  <c r="G13" i="94"/>
  <c r="F12" i="94"/>
  <c r="G258" i="94"/>
  <c r="F257" i="94"/>
  <c r="F1188" i="94"/>
  <c r="G1188" i="94" s="1"/>
  <c r="G1209" i="94"/>
  <c r="F1208" i="94"/>
  <c r="G1208" i="94" s="1"/>
  <c r="G1665" i="94"/>
  <c r="F1664" i="94"/>
  <c r="G1664" i="94" s="1"/>
  <c r="G1708" i="94"/>
  <c r="F1707" i="94"/>
  <c r="G1600" i="94"/>
  <c r="F1599" i="94"/>
  <c r="G1748" i="94"/>
  <c r="G1925" i="94"/>
  <c r="F1924" i="94"/>
  <c r="G2267" i="94"/>
  <c r="F2266" i="94"/>
  <c r="G1674" i="94"/>
  <c r="F1673" i="94"/>
  <c r="G2262" i="94"/>
  <c r="F2261" i="94"/>
  <c r="G2261" i="94" s="1"/>
  <c r="G49" i="94"/>
  <c r="F48" i="94"/>
  <c r="G417" i="94"/>
  <c r="F416" i="94"/>
  <c r="G416" i="94" s="1"/>
  <c r="G74" i="94"/>
  <c r="F73" i="94"/>
  <c r="G2610" i="94"/>
  <c r="F2609" i="94"/>
  <c r="G2609" i="94" s="1"/>
  <c r="G443" i="94"/>
  <c r="F442" i="94"/>
  <c r="G721" i="94"/>
  <c r="F720" i="94"/>
  <c r="G720" i="94" s="1"/>
  <c r="G1023" i="94"/>
  <c r="F1022" i="94"/>
  <c r="G1261" i="94"/>
  <c r="F1260" i="94"/>
  <c r="G1320" i="94"/>
  <c r="F1319" i="94"/>
  <c r="G1627" i="94"/>
  <c r="F1626" i="94"/>
  <c r="G159" i="94"/>
  <c r="F158" i="94"/>
  <c r="F1752" i="94"/>
  <c r="G1752" i="94" s="1"/>
  <c r="G1753" i="94"/>
  <c r="F2257" i="94"/>
  <c r="G2257" i="94" s="1"/>
  <c r="G2258" i="94"/>
  <c r="G342" i="94"/>
  <c r="F341" i="94"/>
  <c r="G502" i="94"/>
  <c r="F501" i="94"/>
  <c r="G1008" i="94"/>
  <c r="F1007" i="94"/>
  <c r="F1324" i="94"/>
  <c r="G1325" i="94"/>
  <c r="F2070" i="94"/>
  <c r="G2070" i="94" s="1"/>
  <c r="G2071" i="94"/>
  <c r="F548" i="94"/>
  <c r="G549" i="94"/>
  <c r="G154" i="94"/>
  <c r="F153" i="94"/>
  <c r="G153" i="94" s="1"/>
  <c r="F667" i="94"/>
  <c r="G668" i="94"/>
  <c r="G1228" i="94"/>
  <c r="F1227" i="94"/>
  <c r="G1227" i="94" s="1"/>
  <c r="G1611" i="94"/>
  <c r="F1610" i="94"/>
  <c r="G1610" i="94" s="1"/>
  <c r="G1723" i="94"/>
  <c r="F1722" i="94"/>
  <c r="G2139" i="94"/>
  <c r="F2138" i="94"/>
  <c r="G2138" i="94" s="1"/>
  <c r="F1344" i="94"/>
  <c r="G1345" i="94"/>
  <c r="F2133" i="94"/>
  <c r="G2134" i="94"/>
  <c r="F2353" i="94"/>
  <c r="G2353" i="94" s="1"/>
  <c r="G2354" i="94"/>
  <c r="F320" i="94"/>
  <c r="G320" i="94" s="1"/>
  <c r="G321" i="94"/>
  <c r="F1656" i="94"/>
  <c r="G1656" i="94" s="1"/>
  <c r="G1657" i="94"/>
  <c r="F182" i="94"/>
  <c r="G183" i="94"/>
  <c r="F1302" i="94"/>
  <c r="G1303" i="94"/>
  <c r="F1200" i="94"/>
  <c r="G1200" i="94" s="1"/>
  <c r="G1201" i="94"/>
  <c r="F1561" i="94"/>
  <c r="G1562" i="94"/>
  <c r="G1803" i="94"/>
  <c r="F1802" i="94"/>
  <c r="G1802" i="94" s="1"/>
  <c r="F2012" i="94"/>
  <c r="G2012" i="94" s="1"/>
  <c r="G2013" i="94"/>
  <c r="F2158" i="94"/>
  <c r="G2158" i="94" s="1"/>
  <c r="G2159" i="94"/>
  <c r="F2408" i="94"/>
  <c r="G2408" i="94" s="1"/>
  <c r="G2409" i="94"/>
  <c r="G925" i="94"/>
  <c r="F924" i="94"/>
  <c r="F1181" i="94"/>
  <c r="G1185" i="94"/>
  <c r="G1695" i="94"/>
  <c r="F1694" i="94"/>
  <c r="G2220" i="94"/>
  <c r="F2219" i="94"/>
  <c r="G2219" i="94" s="1"/>
  <c r="G2419" i="94"/>
  <c r="F2418" i="94"/>
  <c r="G2418" i="94" s="1"/>
  <c r="G1825" i="94"/>
  <c r="F1824" i="94"/>
  <c r="G1824" i="94" s="1"/>
  <c r="G270" i="94"/>
  <c r="F269" i="94"/>
  <c r="G103" i="94"/>
  <c r="F102" i="94"/>
  <c r="G102" i="94" s="1"/>
  <c r="G467" i="94"/>
  <c r="F466" i="94"/>
  <c r="F1242" i="94"/>
  <c r="G1243" i="94"/>
  <c r="F1820" i="94"/>
  <c r="G1820" i="94" s="1"/>
  <c r="G1821" i="94"/>
  <c r="F2095" i="94"/>
  <c r="G2096" i="94"/>
  <c r="G1546" i="94"/>
  <c r="F1545" i="94"/>
  <c r="G2304" i="94"/>
  <c r="F2303" i="94"/>
  <c r="G2502" i="94"/>
  <c r="F2501" i="94"/>
  <c r="G2602" i="94"/>
  <c r="F2601" i="94"/>
  <c r="G712" i="94"/>
  <c r="F711" i="94"/>
  <c r="G711" i="94" s="1"/>
  <c r="G1232" i="94"/>
  <c r="F1231" i="94"/>
  <c r="G1231" i="94" s="1"/>
  <c r="G1407" i="94"/>
  <c r="F1406" i="94"/>
  <c r="G1807" i="94"/>
  <c r="F1806" i="94"/>
  <c r="G1806" i="94" s="1"/>
  <c r="G1713" i="94"/>
  <c r="F1712" i="94"/>
  <c r="G2314" i="94"/>
  <c r="F2313" i="94"/>
  <c r="G2293" i="94"/>
  <c r="F2292" i="94"/>
  <c r="G2282" i="94"/>
  <c r="F2281" i="94"/>
  <c r="G2545" i="94"/>
  <c r="F2544" i="94"/>
  <c r="G1913" i="94"/>
  <c r="F1912" i="94"/>
  <c r="G430" i="94"/>
  <c r="F429" i="94"/>
  <c r="G139" i="94"/>
  <c r="F138" i="94"/>
  <c r="G1041" i="94"/>
  <c r="F1040" i="94"/>
  <c r="G1040" i="94" s="1"/>
  <c r="G216" i="94"/>
  <c r="F215" i="94"/>
  <c r="G936" i="94"/>
  <c r="F935" i="94"/>
  <c r="G802" i="94"/>
  <c r="F801" i="94"/>
  <c r="F1251" i="94"/>
  <c r="G1492" i="94"/>
  <c r="F1491" i="94"/>
  <c r="G2191" i="94"/>
  <c r="F2190" i="94"/>
  <c r="G334" i="94"/>
  <c r="F333" i="94"/>
  <c r="F1689" i="94"/>
  <c r="G1689" i="94" s="1"/>
  <c r="G1690" i="94"/>
  <c r="L575" i="93"/>
  <c r="J574" i="93"/>
  <c r="L574" i="93" s="1"/>
  <c r="L636" i="93"/>
  <c r="J635" i="93"/>
  <c r="L635" i="93" s="1"/>
  <c r="J645" i="93"/>
  <c r="L645" i="93" s="1"/>
  <c r="L646" i="93"/>
  <c r="L444" i="93"/>
  <c r="J443" i="93"/>
  <c r="L443" i="93" s="1"/>
  <c r="G349" i="93"/>
  <c r="H349" i="93" s="1"/>
  <c r="H532" i="93"/>
  <c r="G531" i="93"/>
  <c r="H531" i="93" s="1"/>
  <c r="L412" i="93"/>
  <c r="J408" i="93"/>
  <c r="L502" i="93"/>
  <c r="J501" i="93"/>
  <c r="L452" i="93"/>
  <c r="J451" i="93"/>
  <c r="L451" i="93" s="1"/>
  <c r="H465" i="93"/>
  <c r="G459" i="93"/>
  <c r="H459" i="93" s="1"/>
  <c r="L324" i="93"/>
  <c r="J323" i="93"/>
  <c r="L323" i="93" s="1"/>
  <c r="L350" i="93"/>
  <c r="J293" i="93"/>
  <c r="L294" i="93"/>
  <c r="H240" i="93"/>
  <c r="G239" i="93"/>
  <c r="H239" i="93" s="1"/>
  <c r="F407" i="93"/>
  <c r="H11" i="93"/>
  <c r="G10" i="93"/>
  <c r="L39" i="93"/>
  <c r="J38" i="93"/>
  <c r="L38" i="93" s="1"/>
  <c r="G292" i="93"/>
  <c r="H292" i="93" s="1"/>
  <c r="L176" i="93"/>
  <c r="J175" i="93"/>
  <c r="L175" i="93" s="1"/>
  <c r="L46" i="93"/>
  <c r="J45" i="93"/>
  <c r="I654" i="93"/>
  <c r="H119" i="93"/>
  <c r="L506" i="93"/>
  <c r="J505" i="93"/>
  <c r="L505" i="93" s="1"/>
  <c r="L477" i="93"/>
  <c r="J476" i="93"/>
  <c r="L476" i="93" s="1"/>
  <c r="J338" i="93"/>
  <c r="L341" i="93"/>
  <c r="L466" i="93"/>
  <c r="J465" i="93"/>
  <c r="L465" i="93" s="1"/>
  <c r="L618" i="93"/>
  <c r="J617" i="93"/>
  <c r="G407" i="93"/>
  <c r="H407" i="93" s="1"/>
  <c r="H275" i="93"/>
  <c r="J275" i="93"/>
  <c r="L275" i="93" s="1"/>
  <c r="G669" i="93"/>
  <c r="G654" i="93"/>
  <c r="L164" i="93"/>
  <c r="J163" i="93"/>
  <c r="L163" i="93" s="1"/>
  <c r="G66" i="93"/>
  <c r="H66" i="93" s="1"/>
  <c r="L240" i="93"/>
  <c r="J239" i="93"/>
  <c r="L239" i="93" s="1"/>
  <c r="E151" i="93"/>
  <c r="E652" i="93" s="1"/>
  <c r="E663" i="93" s="1"/>
  <c r="G171" i="93"/>
  <c r="I171" i="93" s="1"/>
  <c r="H152" i="93"/>
  <c r="G151" i="93"/>
  <c r="H151" i="93" s="1"/>
  <c r="L130" i="93"/>
  <c r="L67" i="93"/>
  <c r="L14" i="93"/>
  <c r="J12" i="93"/>
  <c r="J98" i="93"/>
  <c r="L98" i="93" s="1"/>
  <c r="L561" i="93"/>
  <c r="J560" i="93"/>
  <c r="L560" i="93" s="1"/>
  <c r="L555" i="93"/>
  <c r="J554" i="93"/>
  <c r="G536" i="93"/>
  <c r="H536" i="93" s="1"/>
  <c r="H543" i="93"/>
  <c r="L632" i="93"/>
  <c r="J631" i="93"/>
  <c r="L631" i="93" s="1"/>
  <c r="L518" i="93"/>
  <c r="J517" i="93"/>
  <c r="L517" i="93" s="1"/>
  <c r="G495" i="93"/>
  <c r="H495" i="93" s="1"/>
  <c r="H501" i="93"/>
  <c r="L386" i="93"/>
  <c r="J385" i="93"/>
  <c r="L385" i="93" s="1"/>
  <c r="G584" i="93"/>
  <c r="H584" i="93" s="1"/>
  <c r="H591" i="93"/>
  <c r="L544" i="93"/>
  <c r="J543" i="93"/>
  <c r="J460" i="93"/>
  <c r="L461" i="93"/>
  <c r="L360" i="93"/>
  <c r="J359" i="93"/>
  <c r="L359" i="93" s="1"/>
  <c r="L227" i="93"/>
  <c r="J226" i="93"/>
  <c r="L226" i="93" s="1"/>
  <c r="L236" i="93"/>
  <c r="J235" i="93"/>
  <c r="L235" i="93" s="1"/>
  <c r="J142" i="93"/>
  <c r="L143" i="93"/>
  <c r="L202" i="93"/>
  <c r="J201" i="93"/>
  <c r="J657" i="93"/>
  <c r="L657" i="93" s="1"/>
  <c r="H182" i="93"/>
  <c r="G181" i="93"/>
  <c r="H181" i="93" s="1"/>
  <c r="L124" i="93"/>
  <c r="J123" i="93"/>
  <c r="L123" i="93" s="1"/>
  <c r="L88" i="93"/>
  <c r="J87" i="93"/>
  <c r="L87" i="93" s="1"/>
  <c r="J656" i="93"/>
  <c r="L656" i="93" s="1"/>
  <c r="J50" i="93"/>
  <c r="L369" i="93"/>
  <c r="J368" i="93"/>
  <c r="L368" i="93" s="1"/>
  <c r="L301" i="93"/>
  <c r="J297" i="93"/>
  <c r="L297" i="93" s="1"/>
  <c r="G280" i="93"/>
  <c r="H280" i="93" s="1"/>
  <c r="H281" i="93"/>
  <c r="L222" i="93"/>
  <c r="J221" i="93"/>
  <c r="L221" i="93" s="1"/>
  <c r="J281" i="93"/>
  <c r="L282" i="93"/>
  <c r="G200" i="93"/>
  <c r="H200" i="93" s="1"/>
  <c r="J159" i="93"/>
  <c r="L159" i="93" s="1"/>
  <c r="L160" i="93"/>
  <c r="L138" i="93"/>
  <c r="J137" i="93"/>
  <c r="L137" i="93" s="1"/>
  <c r="H45" i="93"/>
  <c r="G44" i="93"/>
  <c r="H44" i="93" s="1"/>
  <c r="L153" i="93"/>
  <c r="J152" i="93"/>
  <c r="H142" i="93"/>
  <c r="G141" i="93"/>
  <c r="H141" i="93" s="1"/>
  <c r="J655" i="93"/>
  <c r="L655" i="93" s="1"/>
  <c r="F66" i="93"/>
  <c r="J66" i="93" l="1"/>
  <c r="F652" i="93"/>
  <c r="F663" i="93" s="1"/>
  <c r="G1491" i="94"/>
  <c r="F1490" i="94"/>
  <c r="G1490" i="94" s="1"/>
  <c r="F1241" i="94"/>
  <c r="G1242" i="94"/>
  <c r="G1181" i="94"/>
  <c r="F1560" i="94"/>
  <c r="G1560" i="94" s="1"/>
  <c r="G1561" i="94"/>
  <c r="G2556" i="94"/>
  <c r="G1760" i="94"/>
  <c r="F1759" i="94"/>
  <c r="G1759" i="94" s="1"/>
  <c r="G2048" i="94"/>
  <c r="F2047" i="94"/>
  <c r="G935" i="94"/>
  <c r="F934" i="94"/>
  <c r="G934" i="94" s="1"/>
  <c r="G429" i="94"/>
  <c r="F428" i="94"/>
  <c r="G428" i="94" s="1"/>
  <c r="G2544" i="94"/>
  <c r="F2543" i="94"/>
  <c r="G2543" i="94" s="1"/>
  <c r="G2292" i="94"/>
  <c r="F2291" i="94"/>
  <c r="G2291" i="94" s="1"/>
  <c r="G1712" i="94"/>
  <c r="F1711" i="94"/>
  <c r="G1711" i="94" s="1"/>
  <c r="G1406" i="94"/>
  <c r="F1405" i="94"/>
  <c r="G1405" i="94" s="1"/>
  <c r="G2501" i="94"/>
  <c r="F2500" i="94"/>
  <c r="G2500" i="94" s="1"/>
  <c r="G1545" i="94"/>
  <c r="F1544" i="94"/>
  <c r="G1544" i="94" s="1"/>
  <c r="G466" i="94"/>
  <c r="F465" i="94"/>
  <c r="G269" i="94"/>
  <c r="F268" i="94"/>
  <c r="G1694" i="94"/>
  <c r="F1693" i="94"/>
  <c r="G1693" i="94" s="1"/>
  <c r="G924" i="94"/>
  <c r="F923" i="94"/>
  <c r="G923" i="94" s="1"/>
  <c r="G501" i="94"/>
  <c r="F500" i="94"/>
  <c r="G500" i="94" s="1"/>
  <c r="G158" i="94"/>
  <c r="F157" i="94"/>
  <c r="G157" i="94" s="1"/>
  <c r="G1319" i="94"/>
  <c r="F1318" i="94"/>
  <c r="G1318" i="94" s="1"/>
  <c r="G1022" i="94"/>
  <c r="F1021" i="94"/>
  <c r="G1021" i="94" s="1"/>
  <c r="G442" i="94"/>
  <c r="F441" i="94"/>
  <c r="G441" i="94" s="1"/>
  <c r="G73" i="94"/>
  <c r="F72" i="94"/>
  <c r="G72" i="94" s="1"/>
  <c r="G48" i="94"/>
  <c r="F47" i="94"/>
  <c r="G47" i="94" s="1"/>
  <c r="G1673" i="94"/>
  <c r="F1672" i="94"/>
  <c r="G1672" i="94" s="1"/>
  <c r="G1924" i="94"/>
  <c r="F1923" i="94"/>
  <c r="G1923" i="94" s="1"/>
  <c r="G1599" i="94"/>
  <c r="F1598" i="94"/>
  <c r="F582" i="94"/>
  <c r="G583" i="94"/>
  <c r="F2567" i="94"/>
  <c r="G2567" i="94" s="1"/>
  <c r="G2568" i="94"/>
  <c r="F819" i="94"/>
  <c r="G819" i="94" s="1"/>
  <c r="G820" i="94"/>
  <c r="F1215" i="94"/>
  <c r="G1215" i="94" s="1"/>
  <c r="G1216" i="94"/>
  <c r="F706" i="94"/>
  <c r="G706" i="94" s="1"/>
  <c r="G707" i="94"/>
  <c r="F2430" i="94"/>
  <c r="G2430" i="94" s="1"/>
  <c r="G2431" i="94"/>
  <c r="G1251" i="94"/>
  <c r="F1250" i="94"/>
  <c r="G1250" i="94" s="1"/>
  <c r="F181" i="94"/>
  <c r="G181" i="94" s="1"/>
  <c r="G182" i="94"/>
  <c r="F2132" i="94"/>
  <c r="G2133" i="94"/>
  <c r="F666" i="94"/>
  <c r="G667" i="94"/>
  <c r="F547" i="94"/>
  <c r="G548" i="94"/>
  <c r="F1323" i="94"/>
  <c r="G1323" i="94" s="1"/>
  <c r="G1324" i="94"/>
  <c r="G257" i="94"/>
  <c r="F256" i="94"/>
  <c r="G333" i="94"/>
  <c r="F332" i="94"/>
  <c r="G332" i="94" s="1"/>
  <c r="F2094" i="94"/>
  <c r="G2094" i="94" s="1"/>
  <c r="G2095" i="94"/>
  <c r="F1301" i="94"/>
  <c r="G1301" i="94" s="1"/>
  <c r="G1302" i="94"/>
  <c r="F1343" i="94"/>
  <c r="G1343" i="94" s="1"/>
  <c r="G1344" i="94"/>
  <c r="G12" i="94"/>
  <c r="F11" i="94"/>
  <c r="G2190" i="94"/>
  <c r="F2189" i="94"/>
  <c r="G2189" i="94" s="1"/>
  <c r="G801" i="94"/>
  <c r="F800" i="94"/>
  <c r="G800" i="94" s="1"/>
  <c r="G215" i="94"/>
  <c r="F214" i="94"/>
  <c r="G214" i="94" s="1"/>
  <c r="G138" i="94"/>
  <c r="F137" i="94"/>
  <c r="G137" i="94" s="1"/>
  <c r="G1912" i="94"/>
  <c r="F1911" i="94"/>
  <c r="G1911" i="94" s="1"/>
  <c r="G2281" i="94"/>
  <c r="F2280" i="94"/>
  <c r="G2280" i="94" s="1"/>
  <c r="F2312" i="94"/>
  <c r="G2312" i="94" s="1"/>
  <c r="G2313" i="94"/>
  <c r="F2600" i="94"/>
  <c r="G2601" i="94"/>
  <c r="G2303" i="94"/>
  <c r="F2302" i="94"/>
  <c r="G2302" i="94" s="1"/>
  <c r="G1722" i="94"/>
  <c r="F1721" i="94"/>
  <c r="G1721" i="94" s="1"/>
  <c r="G1007" i="94"/>
  <c r="F1006" i="94"/>
  <c r="G1006" i="94" s="1"/>
  <c r="G341" i="94"/>
  <c r="F340" i="94"/>
  <c r="G340" i="94" s="1"/>
  <c r="G1626" i="94"/>
  <c r="F1625" i="94"/>
  <c r="G1260" i="94"/>
  <c r="F1259" i="94"/>
  <c r="G1259" i="94" s="1"/>
  <c r="G2266" i="94"/>
  <c r="F2265" i="94"/>
  <c r="G2265" i="94" s="1"/>
  <c r="G1707" i="94"/>
  <c r="F1706" i="94"/>
  <c r="G1706" i="94" s="1"/>
  <c r="F782" i="94"/>
  <c r="G783" i="94"/>
  <c r="F2505" i="94"/>
  <c r="G2505" i="94" s="1"/>
  <c r="G2506" i="94"/>
  <c r="F2241" i="94"/>
  <c r="G2242" i="94"/>
  <c r="F618" i="94"/>
  <c r="G618" i="94" s="1"/>
  <c r="G619" i="94"/>
  <c r="F2334" i="94"/>
  <c r="G2334" i="94" s="1"/>
  <c r="G2335" i="94"/>
  <c r="L201" i="93"/>
  <c r="J200" i="93"/>
  <c r="L200" i="93" s="1"/>
  <c r="J654" i="93"/>
  <c r="L654" i="93" s="1"/>
  <c r="L12" i="93"/>
  <c r="J11" i="93"/>
  <c r="J129" i="93"/>
  <c r="L129" i="93" s="1"/>
  <c r="J171" i="93"/>
  <c r="L171" i="93" s="1"/>
  <c r="I151" i="93"/>
  <c r="I652" i="93" s="1"/>
  <c r="L617" i="93"/>
  <c r="J584" i="93"/>
  <c r="L584" i="93" s="1"/>
  <c r="L45" i="93"/>
  <c r="J44" i="93"/>
  <c r="L44" i="93" s="1"/>
  <c r="G652" i="93"/>
  <c r="H10" i="93"/>
  <c r="L281" i="93"/>
  <c r="J280" i="93"/>
  <c r="L280" i="93" s="1"/>
  <c r="L338" i="93"/>
  <c r="J337" i="93"/>
  <c r="L337" i="93" s="1"/>
  <c r="J407" i="93"/>
  <c r="L407" i="93" s="1"/>
  <c r="L408" i="93"/>
  <c r="L554" i="93"/>
  <c r="J553" i="93"/>
  <c r="L553" i="93" s="1"/>
  <c r="L66" i="93"/>
  <c r="L293" i="93"/>
  <c r="L152" i="93"/>
  <c r="J49" i="93"/>
  <c r="L49" i="93" s="1"/>
  <c r="L50" i="93"/>
  <c r="L142" i="93"/>
  <c r="J141" i="93"/>
  <c r="L141" i="93" s="1"/>
  <c r="J459" i="93"/>
  <c r="L459" i="93" s="1"/>
  <c r="L460" i="93"/>
  <c r="G662" i="93"/>
  <c r="H662" i="93" s="1"/>
  <c r="G666" i="93"/>
  <c r="H654" i="93"/>
  <c r="J349" i="93"/>
  <c r="L349" i="93" s="1"/>
  <c r="L501" i="93"/>
  <c r="J495" i="93"/>
  <c r="L495" i="93" s="1"/>
  <c r="L543" i="93"/>
  <c r="J536" i="93"/>
  <c r="L536" i="93" s="1"/>
  <c r="J151" i="93" l="1"/>
  <c r="L151" i="93" s="1"/>
  <c r="F781" i="94"/>
  <c r="G781" i="94" s="1"/>
  <c r="G782" i="94"/>
  <c r="F546" i="94"/>
  <c r="G546" i="94" s="1"/>
  <c r="G547" i="94"/>
  <c r="F2131" i="94"/>
  <c r="G2131" i="94" s="1"/>
  <c r="G2132" i="94"/>
  <c r="F581" i="94"/>
  <c r="G581" i="94" s="1"/>
  <c r="G582" i="94"/>
  <c r="F1240" i="94"/>
  <c r="G1240" i="94" s="1"/>
  <c r="G1241" i="94"/>
  <c r="G256" i="94"/>
  <c r="F255" i="94"/>
  <c r="G255" i="94" s="1"/>
  <c r="G465" i="94"/>
  <c r="F464" i="94"/>
  <c r="G464" i="94" s="1"/>
  <c r="G1598" i="94"/>
  <c r="F1597" i="94"/>
  <c r="G1597" i="94" s="1"/>
  <c r="G268" i="94"/>
  <c r="F267" i="94"/>
  <c r="G267" i="94" s="1"/>
  <c r="G2047" i="94"/>
  <c r="F2046" i="94"/>
  <c r="G2046" i="94" s="1"/>
  <c r="F2555" i="94"/>
  <c r="G2555" i="94" s="1"/>
  <c r="F2229" i="94"/>
  <c r="G2229" i="94" s="1"/>
  <c r="G2241" i="94"/>
  <c r="G1625" i="94"/>
  <c r="F1624" i="94"/>
  <c r="G1624" i="94" s="1"/>
  <c r="F10" i="94"/>
  <c r="G11" i="94"/>
  <c r="F1747" i="94"/>
  <c r="G1747" i="94" s="1"/>
  <c r="G2600" i="94"/>
  <c r="F665" i="94"/>
  <c r="G665" i="94" s="1"/>
  <c r="G666" i="94"/>
  <c r="F1180" i="94"/>
  <c r="G1180" i="94" s="1"/>
  <c r="J292" i="93"/>
  <c r="L292" i="93" s="1"/>
  <c r="G663" i="93"/>
  <c r="H652" i="93"/>
  <c r="L11" i="93"/>
  <c r="J10" i="93"/>
  <c r="F2597" i="94" l="1"/>
  <c r="G10" i="94"/>
  <c r="J652" i="93"/>
  <c r="L652" i="93" s="1"/>
  <c r="L10" i="93"/>
  <c r="G2597" i="94" l="1"/>
  <c r="H2600" i="94"/>
  <c r="Q536" i="87" l="1"/>
  <c r="F54" i="87"/>
  <c r="F55" i="87" s="1"/>
  <c r="F37" i="87"/>
  <c r="F25" i="87"/>
  <c r="F31" i="87" s="1"/>
  <c r="F35" i="87" s="1"/>
  <c r="F18" i="87"/>
  <c r="F9" i="87"/>
  <c r="F15" i="87" s="1"/>
  <c r="F24" i="87" s="1"/>
  <c r="F38" i="87" l="1"/>
  <c r="Q535" i="86"/>
  <c r="E12" i="86"/>
  <c r="E11" i="86" s="1"/>
  <c r="G11" i="86"/>
  <c r="F11" i="86"/>
  <c r="E10" i="86"/>
  <c r="E9" i="86"/>
  <c r="E7" i="86" s="1"/>
  <c r="E8" i="86"/>
  <c r="G7" i="86"/>
  <c r="F7" i="86"/>
  <c r="F13" i="86" s="1"/>
  <c r="Q534" i="85"/>
  <c r="G24" i="85"/>
  <c r="F24" i="85"/>
  <c r="E24" i="85" s="1"/>
  <c r="E23" i="85"/>
  <c r="E22" i="85"/>
  <c r="E21" i="85"/>
  <c r="E20" i="85"/>
  <c r="E19" i="85"/>
  <c r="E18" i="85"/>
  <c r="E17" i="85"/>
  <c r="E16" i="85"/>
  <c r="E15" i="85"/>
  <c r="E14" i="85"/>
  <c r="E13" i="85"/>
  <c r="E12" i="85"/>
  <c r="E11" i="85"/>
  <c r="E10" i="85"/>
  <c r="E9" i="85"/>
  <c r="E8" i="85"/>
  <c r="E7" i="85"/>
  <c r="E6" i="85"/>
  <c r="E5" i="85"/>
  <c r="E13" i="86" l="1"/>
  <c r="G13" i="86"/>
  <c r="L61" i="83"/>
  <c r="L96" i="83" l="1"/>
  <c r="I57" i="83"/>
  <c r="I58" i="83"/>
  <c r="G60" i="83"/>
  <c r="F60" i="83"/>
  <c r="E60" i="83"/>
  <c r="G59" i="83"/>
  <c r="F59" i="83" s="1"/>
  <c r="E59" i="83" s="1"/>
  <c r="G58" i="83"/>
  <c r="F58" i="83" s="1"/>
  <c r="E58" i="83" s="1"/>
  <c r="G57" i="83" l="1"/>
  <c r="F57" i="83" s="1"/>
  <c r="E57" i="83" s="1"/>
  <c r="G91" i="83"/>
  <c r="F91" i="83"/>
  <c r="E91" i="83"/>
  <c r="G84" i="83"/>
  <c r="F84" i="83" s="1"/>
  <c r="E84" i="83" s="1"/>
  <c r="E62" i="83"/>
  <c r="E36" i="82"/>
  <c r="I7" i="83"/>
  <c r="I6" i="83" s="1"/>
  <c r="E32" i="82" l="1"/>
  <c r="E29" i="82"/>
  <c r="E28" i="82" s="1"/>
  <c r="Q541" i="82" l="1"/>
  <c r="Q542" i="83"/>
  <c r="Q534" i="84"/>
  <c r="D181" i="84" l="1"/>
  <c r="E23" i="84"/>
  <c r="E22" i="84"/>
  <c r="G21" i="84"/>
  <c r="F21" i="84"/>
  <c r="E20" i="84"/>
  <c r="E19" i="84"/>
  <c r="E18" i="84" s="1"/>
  <c r="G18" i="84"/>
  <c r="G17" i="84" s="1"/>
  <c r="F18" i="84"/>
  <c r="F17" i="84" s="1"/>
  <c r="E16" i="84"/>
  <c r="E15" i="84"/>
  <c r="E14" i="84" s="1"/>
  <c r="E13" i="84" s="1"/>
  <c r="G14" i="84"/>
  <c r="G13" i="84" s="1"/>
  <c r="F14" i="84"/>
  <c r="F13" i="84" s="1"/>
  <c r="E12" i="84"/>
  <c r="E11" i="84"/>
  <c r="G10" i="84"/>
  <c r="G9" i="84" s="1"/>
  <c r="F10" i="84"/>
  <c r="F9" i="84" s="1"/>
  <c r="E10" i="84"/>
  <c r="E9" i="84" s="1"/>
  <c r="E8" i="84"/>
  <c r="E7" i="84"/>
  <c r="E6" i="84" s="1"/>
  <c r="E5" i="84" s="1"/>
  <c r="G6" i="84"/>
  <c r="G5" i="84" s="1"/>
  <c r="F6" i="84"/>
  <c r="F5" i="84" s="1"/>
  <c r="E234" i="83"/>
  <c r="G95" i="83"/>
  <c r="F95" i="83" s="1"/>
  <c r="E95" i="83" s="1"/>
  <c r="G94" i="83"/>
  <c r="F94" i="83" s="1"/>
  <c r="E94" i="83" s="1"/>
  <c r="G93" i="83"/>
  <c r="F93" i="83"/>
  <c r="E93" i="83" s="1"/>
  <c r="G92" i="83"/>
  <c r="F92" i="83" s="1"/>
  <c r="E92" i="83" s="1"/>
  <c r="G90" i="83"/>
  <c r="F90" i="83" s="1"/>
  <c r="E90" i="83" s="1"/>
  <c r="G89" i="83"/>
  <c r="F89" i="83" s="1"/>
  <c r="E89" i="83" s="1"/>
  <c r="G88" i="83"/>
  <c r="F88" i="83" s="1"/>
  <c r="E88" i="83" s="1"/>
  <c r="G87" i="83"/>
  <c r="F87" i="83" s="1"/>
  <c r="E87" i="83" s="1"/>
  <c r="G86" i="83"/>
  <c r="F86" i="83" s="1"/>
  <c r="E86" i="83" s="1"/>
  <c r="G85" i="83"/>
  <c r="F85" i="83" s="1"/>
  <c r="E85" i="83" s="1"/>
  <c r="G83" i="83"/>
  <c r="F83" i="83" s="1"/>
  <c r="E83" i="83" s="1"/>
  <c r="G82" i="83"/>
  <c r="F82" i="83" s="1"/>
  <c r="E82" i="83" s="1"/>
  <c r="G81" i="83"/>
  <c r="F81" i="83" s="1"/>
  <c r="E81" i="83" s="1"/>
  <c r="G80" i="83"/>
  <c r="F80" i="83" s="1"/>
  <c r="E80" i="83" s="1"/>
  <c r="G79" i="83"/>
  <c r="F79" i="83" s="1"/>
  <c r="E79" i="83" s="1"/>
  <c r="G78" i="83"/>
  <c r="F78" i="83" s="1"/>
  <c r="E78" i="83" s="1"/>
  <c r="G77" i="83"/>
  <c r="F77" i="83" s="1"/>
  <c r="E77" i="83" s="1"/>
  <c r="G76" i="83"/>
  <c r="F76" i="83" s="1"/>
  <c r="E76" i="83" s="1"/>
  <c r="F75" i="83"/>
  <c r="E75" i="83" s="1"/>
  <c r="K74" i="83"/>
  <c r="K73" i="83" s="1"/>
  <c r="I74" i="83"/>
  <c r="I73" i="83" s="1"/>
  <c r="H74" i="83"/>
  <c r="G72" i="83"/>
  <c r="F72" i="83" s="1"/>
  <c r="E72" i="83" s="1"/>
  <c r="G71" i="83"/>
  <c r="F71" i="83" s="1"/>
  <c r="E71" i="83" s="1"/>
  <c r="F70" i="83"/>
  <c r="E70" i="83" s="1"/>
  <c r="K69" i="83"/>
  <c r="K68" i="83" s="1"/>
  <c r="K96" i="83" s="1"/>
  <c r="I69" i="83"/>
  <c r="I68" i="83" s="1"/>
  <c r="H69" i="83"/>
  <c r="G67" i="83"/>
  <c r="F67" i="83" s="1"/>
  <c r="E67" i="83" s="1"/>
  <c r="G66" i="83"/>
  <c r="F66" i="83" s="1"/>
  <c r="E66" i="83" s="1"/>
  <c r="I65" i="83"/>
  <c r="I61" i="83" s="1"/>
  <c r="H65" i="83"/>
  <c r="H61" i="83" s="1"/>
  <c r="G63" i="83"/>
  <c r="F63" i="83" s="1"/>
  <c r="E63" i="83" s="1"/>
  <c r="G56" i="83"/>
  <c r="F56" i="83" s="1"/>
  <c r="E56" i="83" s="1"/>
  <c r="G55" i="83"/>
  <c r="F55" i="83" s="1"/>
  <c r="E55" i="83" s="1"/>
  <c r="G54" i="83"/>
  <c r="F54" i="83" s="1"/>
  <c r="E54" i="83" s="1"/>
  <c r="G53" i="83"/>
  <c r="F53" i="83" s="1"/>
  <c r="E53" i="83" s="1"/>
  <c r="G52" i="83"/>
  <c r="F52" i="83" s="1"/>
  <c r="E52" i="83" s="1"/>
  <c r="G51" i="83"/>
  <c r="F51" i="83" s="1"/>
  <c r="E51" i="83" s="1"/>
  <c r="G50" i="83"/>
  <c r="F50" i="83" s="1"/>
  <c r="E50" i="83" s="1"/>
  <c r="G49" i="83"/>
  <c r="F49" i="83" s="1"/>
  <c r="E49" i="83" s="1"/>
  <c r="G48" i="83"/>
  <c r="F48" i="83" s="1"/>
  <c r="E48" i="83" s="1"/>
  <c r="G47" i="83"/>
  <c r="F47" i="83" s="1"/>
  <c r="E47" i="83" s="1"/>
  <c r="F46" i="83"/>
  <c r="E46" i="83" s="1"/>
  <c r="K45" i="83"/>
  <c r="K34" i="83" s="1"/>
  <c r="I45" i="83"/>
  <c r="H45" i="83"/>
  <c r="G44" i="83"/>
  <c r="F44" i="83" s="1"/>
  <c r="E44" i="83" s="1"/>
  <c r="G43" i="83"/>
  <c r="F43" i="83" s="1"/>
  <c r="E43" i="83" s="1"/>
  <c r="G42" i="83"/>
  <c r="F42" i="83" s="1"/>
  <c r="E42" i="83" s="1"/>
  <c r="G41" i="83"/>
  <c r="F41" i="83" s="1"/>
  <c r="E41" i="83" s="1"/>
  <c r="G40" i="83"/>
  <c r="F40" i="83" s="1"/>
  <c r="E40" i="83" s="1"/>
  <c r="I39" i="83"/>
  <c r="H39" i="83"/>
  <c r="G38" i="83"/>
  <c r="F38" i="83" s="1"/>
  <c r="E38" i="83" s="1"/>
  <c r="G37" i="83"/>
  <c r="F37" i="83" s="1"/>
  <c r="E37" i="83" s="1"/>
  <c r="G36" i="83"/>
  <c r="F36" i="83" s="1"/>
  <c r="E36" i="83" s="1"/>
  <c r="H35" i="83"/>
  <c r="G35" i="83" s="1"/>
  <c r="F35" i="83" s="1"/>
  <c r="E35" i="83" s="1"/>
  <c r="G33" i="83"/>
  <c r="F33" i="83" s="1"/>
  <c r="E33" i="83" s="1"/>
  <c r="G32" i="83"/>
  <c r="F32" i="83" s="1"/>
  <c r="E32" i="83" s="1"/>
  <c r="G31" i="83"/>
  <c r="F31" i="83" s="1"/>
  <c r="E31" i="83" s="1"/>
  <c r="G30" i="83"/>
  <c r="F30" i="83" s="1"/>
  <c r="E30" i="83" s="1"/>
  <c r="I29" i="83"/>
  <c r="I28" i="83" s="1"/>
  <c r="H29" i="83"/>
  <c r="G27" i="83"/>
  <c r="F27" i="83" s="1"/>
  <c r="E27" i="83" s="1"/>
  <c r="G26" i="83"/>
  <c r="F26" i="83" s="1"/>
  <c r="E26" i="83" s="1"/>
  <c r="G25" i="83"/>
  <c r="F25" i="83" s="1"/>
  <c r="E25" i="83" s="1"/>
  <c r="H24" i="83"/>
  <c r="G24" i="83" s="1"/>
  <c r="F24" i="83" s="1"/>
  <c r="E24" i="83" s="1"/>
  <c r="G22" i="83"/>
  <c r="F22" i="83" s="1"/>
  <c r="E22" i="83" s="1"/>
  <c r="G21" i="83"/>
  <c r="F21" i="83" s="1"/>
  <c r="E21" i="83" s="1"/>
  <c r="G20" i="83"/>
  <c r="F20" i="83" s="1"/>
  <c r="E20" i="83" s="1"/>
  <c r="G19" i="83"/>
  <c r="F19" i="83" s="1"/>
  <c r="E19" i="83" s="1"/>
  <c r="I18" i="83"/>
  <c r="I12" i="83" s="1"/>
  <c r="H18" i="83"/>
  <c r="F17" i="83"/>
  <c r="E17" i="83" s="1"/>
  <c r="F16" i="83"/>
  <c r="E16" i="83" s="1"/>
  <c r="F15" i="83"/>
  <c r="E15" i="83" s="1"/>
  <c r="F14" i="83"/>
  <c r="E14" i="83" s="1"/>
  <c r="J13" i="83"/>
  <c r="F13" i="83" s="1"/>
  <c r="E13" i="83" s="1"/>
  <c r="G10" i="83"/>
  <c r="F10" i="83" s="1"/>
  <c r="E10" i="83" s="1"/>
  <c r="G9" i="83"/>
  <c r="F9" i="83" s="1"/>
  <c r="E9" i="83" s="1"/>
  <c r="G8" i="83"/>
  <c r="F8" i="83" s="1"/>
  <c r="E8" i="83" s="1"/>
  <c r="H7" i="83"/>
  <c r="D162" i="82"/>
  <c r="E44" i="82"/>
  <c r="E43" i="82" s="1"/>
  <c r="E41" i="82"/>
  <c r="E40" i="82" s="1"/>
  <c r="E38" i="82"/>
  <c r="E34" i="82"/>
  <c r="E26" i="82"/>
  <c r="E24" i="82"/>
  <c r="E22" i="82"/>
  <c r="E19" i="82"/>
  <c r="E18" i="82" s="1"/>
  <c r="E16" i="82"/>
  <c r="E15" i="82" s="1"/>
  <c r="E13" i="82"/>
  <c r="E11" i="82"/>
  <c r="E10" i="82" s="1"/>
  <c r="E8" i="82"/>
  <c r="E7" i="82" s="1"/>
  <c r="I96" i="83" l="1"/>
  <c r="G24" i="84"/>
  <c r="E31" i="82"/>
  <c r="E46" i="82" s="1"/>
  <c r="G18" i="83"/>
  <c r="F18" i="83" s="1"/>
  <c r="E18" i="83" s="1"/>
  <c r="H12" i="83"/>
  <c r="G12" i="83" s="1"/>
  <c r="H23" i="83"/>
  <c r="G29" i="83"/>
  <c r="F29" i="83" s="1"/>
  <c r="E29" i="83" s="1"/>
  <c r="E28" i="83" s="1"/>
  <c r="G61" i="83"/>
  <c r="G69" i="83"/>
  <c r="F69" i="83" s="1"/>
  <c r="F68" i="83" s="1"/>
  <c r="G64" i="83"/>
  <c r="F64" i="83" s="1"/>
  <c r="E64" i="83" s="1"/>
  <c r="H6" i="83"/>
  <c r="G6" i="83" s="1"/>
  <c r="J12" i="83"/>
  <c r="J96" i="83" s="1"/>
  <c r="G7" i="83"/>
  <c r="F7" i="83" s="1"/>
  <c r="F6" i="83" s="1"/>
  <c r="G74" i="83"/>
  <c r="F74" i="83" s="1"/>
  <c r="E74" i="83" s="1"/>
  <c r="I34" i="83"/>
  <c r="G39" i="83"/>
  <c r="F39" i="83" s="1"/>
  <c r="E39" i="83" s="1"/>
  <c r="G45" i="83"/>
  <c r="F45" i="83" s="1"/>
  <c r="E45" i="83" s="1"/>
  <c r="E21" i="82"/>
  <c r="E21" i="84"/>
  <c r="E17" i="84" s="1"/>
  <c r="E24" i="84" s="1"/>
  <c r="F24" i="84"/>
  <c r="E7" i="83"/>
  <c r="E6" i="83" s="1"/>
  <c r="H34" i="83"/>
  <c r="G65" i="83"/>
  <c r="F65" i="83" s="1"/>
  <c r="H68" i="83"/>
  <c r="H73" i="83"/>
  <c r="G73" i="83" s="1"/>
  <c r="F73" i="83" s="1"/>
  <c r="E73" i="83" s="1"/>
  <c r="H28" i="83"/>
  <c r="G28" i="83" s="1"/>
  <c r="F28" i="83" s="1"/>
  <c r="G23" i="83" l="1"/>
  <c r="H96" i="83"/>
  <c r="F12" i="83"/>
  <c r="E12" i="83" s="1"/>
  <c r="G34" i="83"/>
  <c r="F34" i="83" s="1"/>
  <c r="E34" i="83" s="1"/>
  <c r="E69" i="83"/>
  <c r="E68" i="83"/>
  <c r="G68" i="83"/>
  <c r="G96" i="83" s="1"/>
  <c r="E65" i="83"/>
  <c r="E61" i="83" s="1"/>
  <c r="F61" i="83"/>
  <c r="F23" i="83" l="1"/>
  <c r="E23" i="83" l="1"/>
  <c r="E96" i="83" s="1"/>
  <c r="F96" i="83"/>
</calcChain>
</file>

<file path=xl/sharedStrings.xml><?xml version="1.0" encoding="utf-8"?>
<sst xmlns="http://schemas.openxmlformats.org/spreadsheetml/2006/main" count="7221" uniqueCount="1464">
  <si>
    <t>Dział</t>
  </si>
  <si>
    <t>w tym:</t>
  </si>
  <si>
    <t>Paragraf</t>
  </si>
  <si>
    <t>DOCHODY OGÓŁEM</t>
  </si>
  <si>
    <t>ADMINISTRACJA PUBLICZNA</t>
  </si>
  <si>
    <t>w złotych</t>
  </si>
  <si>
    <t>010</t>
  </si>
  <si>
    <t>01095</t>
  </si>
  <si>
    <t>TRANSPORT I ŁĄCZNOŚĆ</t>
  </si>
  <si>
    <t>RODZINA</t>
  </si>
  <si>
    <t>ROLNICTWO I ŁOWIECTWO</t>
  </si>
  <si>
    <t>Pozostała działalność</t>
  </si>
  <si>
    <t>100</t>
  </si>
  <si>
    <t>GÓRNICTWO I KOPALNICTWO</t>
  </si>
  <si>
    <t>10095</t>
  </si>
  <si>
    <t>Krajowe pasażerskie przewozy autobusowe</t>
  </si>
  <si>
    <t>TURYSTYKA</t>
  </si>
  <si>
    <t>DZIAŁALNOŚĆ USŁUGOWA</t>
  </si>
  <si>
    <t>Prace geologiczne (nieinwestycyjne)</t>
  </si>
  <si>
    <t>Zadania z zakresu geodezji i kartografii</t>
  </si>
  <si>
    <t>Dotacja celowa z budżetu państwa na realizację projektu pn.: "Podkarpacki System Informacji Przestrzennej (PSIP)" realizowanego w ramach Regionalnego Programu Operacyjnego Województwa Podkarpackiego na lata 2014 - 2020</t>
  </si>
  <si>
    <t>Urzędy wojewódzkie</t>
  </si>
  <si>
    <t>Komisje egzaminacyjne</t>
  </si>
  <si>
    <t>Funkcjonowanie wojewódzkich rad dialogu społecznego</t>
  </si>
  <si>
    <t>OBRONA NARODOWA</t>
  </si>
  <si>
    <t>Ratownictwo medyczne</t>
  </si>
  <si>
    <t>Składki na ubezpieczenie zdrowotne oraz świadczenia dla osób nieobjętych obowiązkiem ubezpieczenia zdrowotnego</t>
  </si>
  <si>
    <t>POZOSTAŁE ZADANIA W ZAKRESIE POLITYKI SPOŁECZNEJ</t>
  </si>
  <si>
    <t>ZESTAWIENIE  DOCHODÓW  I  WYDATKÓW  ZWIĄZANYCH  
Z  REALIZACJĄ  ZADAŃ  Z  ZAKRESU  ADMINISTRACJI  RZĄDOWEJ  
ORAZ  INNYCH  ZADAŃ  ZLECONYCH  SAMORZĄDOWI 
WOJEWÓDZTWA  PODKARPACKIEGO USTAWAMI</t>
  </si>
  <si>
    <t>DOCHODY Z TYTUŁU PRZYZNANYCH Z BUDŻETU PAŃSTWA DOTACJI 
NA REALIZACJĘ ZADAŃ Z ZAKRESU ADMINISTRACJI RZĄDOWEJ</t>
  </si>
  <si>
    <t>Rozdział</t>
  </si>
  <si>
    <t>Nazwa</t>
  </si>
  <si>
    <t>Kwota</t>
  </si>
  <si>
    <t>600</t>
  </si>
  <si>
    <t>60003</t>
  </si>
  <si>
    <t>60095</t>
  </si>
  <si>
    <t>630</t>
  </si>
  <si>
    <t>63095</t>
  </si>
  <si>
    <t>710</t>
  </si>
  <si>
    <t>71012</t>
  </si>
  <si>
    <t>750</t>
  </si>
  <si>
    <t>75011</t>
  </si>
  <si>
    <t>75046</t>
  </si>
  <si>
    <t>75084</t>
  </si>
  <si>
    <t>851</t>
  </si>
  <si>
    <t>OCHRONA  ZDROWIA</t>
  </si>
  <si>
    <t>85156</t>
  </si>
  <si>
    <t>Składki na ubezpieczenie zdrowotne oraz świadczenia 
dla osób nieobjętych obowiązkiem ubezpieczenia zdrowotnego</t>
  </si>
  <si>
    <t>85195</t>
  </si>
  <si>
    <t>853</t>
  </si>
  <si>
    <t>85332</t>
  </si>
  <si>
    <t>Wojewódzkie urzędy pracy</t>
  </si>
  <si>
    <t>855</t>
  </si>
  <si>
    <t>85509</t>
  </si>
  <si>
    <t xml:space="preserve">Działalność ośrodków adopcyjnych 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</si>
  <si>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</si>
  <si>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 xml:space="preserve">    w złotych</t>
  </si>
  <si>
    <t>Wydatki 
OGÓŁEM</t>
  </si>
  <si>
    <t>Wydatki 
bieżące</t>
  </si>
  <si>
    <t>z tego:</t>
  </si>
  <si>
    <t>Wydatki 
majątkowe</t>
  </si>
  <si>
    <t>Wydatki jednostek budżetowych</t>
  </si>
  <si>
    <t>Dotacje na zadania bieżące</t>
  </si>
  <si>
    <t>Świadczenia na rzecz osób fizycznych</t>
  </si>
  <si>
    <t>wynagro-
dzenia i 
składki od nich naliczane</t>
  </si>
  <si>
    <t>wydatki związane z realizacją ich statutowych zadań</t>
  </si>
  <si>
    <t>razem</t>
  </si>
  <si>
    <t>Zadania z zakresu geodezji 
i kartografii</t>
  </si>
  <si>
    <t>WYDATKI OGÓŁEM</t>
  </si>
  <si>
    <t xml:space="preserve">PLAN  DOCHODÓW  PODLEGAJĄCYCH  PRZEKAZANIU  DO  BUDŻETU  PAŃSTWA ORAZ STANOWIĄCYCH DOCHÓD BUDŻETU WOJEWÓDZTWA ZWIĄZANYCH  Z  REALIZACJĄ  ZADAŃ  
Z  ZAKRESU  ADMINISTRACJI  RZĄDOWEJ </t>
  </si>
  <si>
    <t>Dochody
OGÓŁEM</t>
  </si>
  <si>
    <t>w tym: podlegające przekazaniu</t>
  </si>
  <si>
    <t xml:space="preserve">do budżetu państwa </t>
  </si>
  <si>
    <t>do budżetu samorządu</t>
  </si>
  <si>
    <t>DZIAŁANOŚĆ USŁUGOWA</t>
  </si>
  <si>
    <t>71005</t>
  </si>
  <si>
    <t>OGÓŁEM</t>
  </si>
  <si>
    <t>752</t>
  </si>
  <si>
    <t>75212</t>
  </si>
  <si>
    <t>Pozostałe wydatki obronne</t>
  </si>
  <si>
    <t>85141</t>
  </si>
  <si>
    <t>85157</t>
  </si>
  <si>
    <t>Staże i specjalizacje medyczne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</si>
  <si>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</si>
  <si>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>Lp.</t>
  </si>
  <si>
    <t>Ogółem</t>
  </si>
  <si>
    <t>Przeznaczenie dotacji</t>
  </si>
  <si>
    <t xml:space="preserve"> bieżące </t>
  </si>
  <si>
    <t>majątkowe</t>
  </si>
  <si>
    <t>na realizację Programu aktywizacji gospodarczo-turystycznej województwa podkarpackiego poprzez promocję cennych przyrodniczo i krajobrazowo terenów łąkowo-pastwiskowych z zachowaniem bioróżnorodności w oparciu o naturalny wypas zwierząt gospodarskich i owadopylności - "Podkarpacki Naturalny Wypas III"</t>
  </si>
  <si>
    <t>60001</t>
  </si>
  <si>
    <t>1) "Świadczenie usług publicznych w zakresie publicznego transportu zbiorowego w transporcie kolejowym w okresie od 01.01.2021r. do 31.12.2025r." - 61.564.076,-zł,
2) "Rekompensata należna przewoźnikowi z tytułu wykonywania kolejowych przewozów osób - w ramach użyteczności publicznej PKA"  - 27.813.056,-zł.</t>
  </si>
  <si>
    <t>63003</t>
  </si>
  <si>
    <t>730</t>
  </si>
  <si>
    <t>73095</t>
  </si>
  <si>
    <t xml:space="preserve">na organizację wydarzeń popularyzujących naukę </t>
  </si>
  <si>
    <t xml:space="preserve">na zadania i cele publiczne z zakresu ratownictwa górskiego i wodnego </t>
  </si>
  <si>
    <t>85153</t>
  </si>
  <si>
    <t>na zadania i cele publiczne z zakresu przeciwdziałania narkomanii w ramach  "Wojewódzkiego Programu Przeciwdziałania Narkomanii"</t>
  </si>
  <si>
    <t>85154</t>
  </si>
  <si>
    <t>na zadania i cele publiczne z zakresu wychowywania w trzeźwości  i przeciwdziałania alkoholizmowi w ramach "Wojewódzkiego Programu Profilaktyki i Rozwiązywania Problemów Alkoholowych"</t>
  </si>
  <si>
    <t>na realizację zadań związanych z ochroną zdrowia psychicznego, ujętych w „Podkarpackim Programie Ochrony Zdrowia Psychicznego na lata 2017-2022"</t>
  </si>
  <si>
    <t>852</t>
  </si>
  <si>
    <t>85205</t>
  </si>
  <si>
    <t xml:space="preserve">na zadania i cele z zakresu przeciwdziałania przemocy w rodzinie w ramach "Wojewódzkiego Programu Przeciwdziałania Przemocy w Rodzinie" </t>
  </si>
  <si>
    <t>85217</t>
  </si>
  <si>
    <t xml:space="preserve">na zadania i cele z zakresu pomocy społecznej w ramach "Wojewódzkiego Programu Pomocy Społecznej" </t>
  </si>
  <si>
    <t>85311</t>
  </si>
  <si>
    <t xml:space="preserve">na zadania i cele z zakresu rehabilitacji zawodowej i społecznej oraz zatrudniania osób niepełnosprawnych w ramach "Wojewódzkiego Programu na Rzecz Wyrównywania Szans Osób Niepełnosprawnych i Przeciwdziałania ich Wykluczeniu Społecznemu" </t>
  </si>
  <si>
    <t>85504</t>
  </si>
  <si>
    <t>na zadania i cele z zakresu wspierania rodziny i systemu pieczy zastępczej w ramach "Wojewódzkiego Programu Wspierania Rodziny i Systemu Pieczy Zastępczej"</t>
  </si>
  <si>
    <t>85510</t>
  </si>
  <si>
    <t>na zadania z zakresu zapewnienia instytucjonalnej pieczy zastępczej (wsparcie prowadzenia regionalnych placówek opiekuńczo-terapeutycznych)</t>
  </si>
  <si>
    <t>900</t>
  </si>
  <si>
    <t>90005</t>
  </si>
  <si>
    <t>na realizację zadania publicznego z zakresu edukacji ekologicznej dotyczącej jakości powietrza</t>
  </si>
  <si>
    <t>921</t>
  </si>
  <si>
    <t>92105</t>
  </si>
  <si>
    <t xml:space="preserve">na zadania i cele publiczne z zakresu kultury, w tym na realizację zadań w zakresie krzewienia kultury lasowiackiej - 200.000,-zł, </t>
  </si>
  <si>
    <t>92120</t>
  </si>
  <si>
    <t>na zadania i cele z zakresu ochrony i konserwacji zabytków - szczegółowy podział dotacji zgodnie z zasadami udzielania dotacji dokonany zostanie odrębną uchwałą Sejmiku Województwa</t>
  </si>
  <si>
    <t>925</t>
  </si>
  <si>
    <t>92595</t>
  </si>
  <si>
    <t xml:space="preserve">na realizację zadania publicznego z zakresu ochrony dziedzictwa przyrodniczego poprzez działania edukacyjne dotyczące ochrony walorów krajobrazowych województwa podkarpackiego w szczególności na obszarach chronionego krajobraz </t>
  </si>
  <si>
    <t>926</t>
  </si>
  <si>
    <t>92605</t>
  </si>
  <si>
    <t xml:space="preserve">na zadania i cele publiczne z zakresu kultury fizycznej i sportu </t>
  </si>
  <si>
    <t>WYDATKI  NA  POMOC  FINANSOWĄ  UDZIELANĄ  INNYM  JEDNOSTKOM  SAMORZĄDU  TERYTORIALNEGO
NA  DOFINANSOWANIE  WŁASNYCH ZADAŃ BIEŻĄCYCH ORAZ ZADAŃ INWESTYCYJNYCH I ZAKUPÓW INWESTYCYJNYCH</t>
  </si>
  <si>
    <t xml:space="preserve">OGÓŁEM </t>
  </si>
  <si>
    <t>w tym wydatki:</t>
  </si>
  <si>
    <t>Jednostka samorządu</t>
  </si>
  <si>
    <t>Przeznaczenie</t>
  </si>
  <si>
    <t>bieżące</t>
  </si>
  <si>
    <t>Lokalny transport zbiorowy</t>
  </si>
  <si>
    <t>Powiat Sanocki</t>
  </si>
  <si>
    <t>Na dofinansowanie wakacyjnych połączeń kolejowych w relacji Łupków - Sanok w ramach zadania pn. "Lokalny Transport Zbiorowy".</t>
  </si>
  <si>
    <t>60014</t>
  </si>
  <si>
    <t xml:space="preserve">Drogi publiczne powiatowe </t>
  </si>
  <si>
    <t>Powiat Rzeszowski</t>
  </si>
  <si>
    <t xml:space="preserve">1) „Rozbudowa łącznika autostrady A4 na odcinku od granicy miasta Rzeszowa do węzła Rzeszów – Północ – etap I” - 337.000,-zł,
2)  „Rozbudowa łącznika drogi ekspresowej S19 – drogi powiatowej na odcinku od węzła Rzeszów – Południe do drogi krajowej nr 19 – etap I” - 978.716,-zł.  </t>
  </si>
  <si>
    <t>60016</t>
  </si>
  <si>
    <t>Drogi publiczne gminne</t>
  </si>
  <si>
    <t xml:space="preserve"> Gmina Solina</t>
  </si>
  <si>
    <t>Na realizację zadania pn. "Budowa kładki rowerowo - pieszej nad Jeziorem Solińskim".</t>
  </si>
  <si>
    <t>Kultura fizyczna</t>
  </si>
  <si>
    <t>92601</t>
  </si>
  <si>
    <t>Obiekty sportowe</t>
  </si>
  <si>
    <t>Gmina Miasto Rzeszów</t>
  </si>
  <si>
    <t>Na realizację zadania pn. "Budowa Podkarpackiego Centrum Lekkoatletycznego przy ul. Wyspiańskiego 22 w Rzeszowie".</t>
  </si>
  <si>
    <t xml:space="preserve">SZCZEGÓŁOWY PODZIAŁ DOTACJI PODMIOTOWYCH  
DLA JEDNOSTEK SEKTORA FINANSÓW PUBLICZNYCH I JEDNOSTKEK SPOZA SEKTORA FINANSÓW PUBLICZNYCH  </t>
  </si>
  <si>
    <t>1. Dotacje dla jednostek sektora finansów publicznych</t>
  </si>
  <si>
    <t>Nazwa jednostki</t>
  </si>
  <si>
    <t>Kwota 
w złotych</t>
  </si>
  <si>
    <t>Muzeum - Zamek w Łańcucie</t>
  </si>
  <si>
    <t>Muzeum Okręgowe w Rzeszowie</t>
  </si>
  <si>
    <t>Muzeum Podkarpackie w Krośnie</t>
  </si>
  <si>
    <t xml:space="preserve">Muzeum Kultury Ludowej w Kolbuszowej </t>
  </si>
  <si>
    <t>Muzeum Narodowe Ziemi Przemyskiej  w  Przemyślu</t>
  </si>
  <si>
    <t>Muzeum Budownictwa Ludowego w Sanoku</t>
  </si>
  <si>
    <t>Muzeum Marii Konopnickiej w Żarnowcu</t>
  </si>
  <si>
    <t>Muzeum Polaków Ratujących Żydów podczas II wojny światowej im. Rodziny Ulmów w Markowej</t>
  </si>
  <si>
    <t xml:space="preserve">Muzeum Historyczne w Sanoku </t>
  </si>
  <si>
    <t>Razem: Muzea</t>
  </si>
  <si>
    <t>Wojewódzki Dom Kultury w Rzeszowie</t>
  </si>
  <si>
    <t>Centrum Kulturalne w Przemyślu</t>
  </si>
  <si>
    <t>Razem: Domy kultury</t>
  </si>
  <si>
    <t>Teatr im. W. Siemaszkowej w Rzeszowie</t>
  </si>
  <si>
    <t>Filharmonia Podkarpacka im. A. Malawskiego w Rzeszowie</t>
  </si>
  <si>
    <t>Galeria Sztuki Współczesnej w Przemyślu</t>
  </si>
  <si>
    <t>Arboretum i Zakład Fizjografii w Bolestraszycach</t>
  </si>
  <si>
    <t>Wojewódzka i Miejska Biblioteka Publiczna 
w Rzeszowie</t>
  </si>
  <si>
    <t>Razem: Instytucje kultury</t>
  </si>
  <si>
    <t xml:space="preserve">Kliniczny Szpital Wojewódzki Nr 1 im. Fryderyka Chopina 
w Rzeszowie </t>
  </si>
  <si>
    <t xml:space="preserve">Kliniczny Szpital Wojewódzki Nr 2 im. Św. Jadwigi Królowej w Rzeszowie </t>
  </si>
  <si>
    <t xml:space="preserve">Wojewódzki Szpital Podkarpacki im. Jana Pawła II w Krośnie </t>
  </si>
  <si>
    <t xml:space="preserve">Wojewódzki Szpital im. Św. Ojca Pio w Przemyślu  </t>
  </si>
  <si>
    <t>Wojewódzki Szpital im. Jana Pawła II w Krośnie</t>
  </si>
  <si>
    <t xml:space="preserve">Wojewódzki Szpital im. Zofii z Zamoyskich Tarnowskiej w Tarnobrzegu </t>
  </si>
  <si>
    <t>Razem: Szpitale ogólne</t>
  </si>
  <si>
    <t xml:space="preserve">Wojewódzki Podkarpacki Szpital Psychiatryczny im. prof. Eugeniusza Brzezickiego w Żurawicy </t>
  </si>
  <si>
    <t xml:space="preserve">Podkarpackie Centrum Medyczne SP ZOZ </t>
  </si>
  <si>
    <t xml:space="preserve">Wojewódzki Ośrodek Medycyny Pracy w Rzeszowie </t>
  </si>
  <si>
    <t>Razem: SPZOZ</t>
  </si>
  <si>
    <t>Zakład Aktywności Zawodowej w Maliniu</t>
  </si>
  <si>
    <t>Razem: ZAZ</t>
  </si>
  <si>
    <t xml:space="preserve"> OGÓŁEM</t>
  </si>
  <si>
    <t>2. Dotacje dla jednostek spoza sektora finansów publicznych</t>
  </si>
  <si>
    <t>Zakład Aktywności Zawodowej w Rymanowie Zdroju</t>
  </si>
  <si>
    <t>Zakład Aktywności Zawodowej w Nowej Sarzynie</t>
  </si>
  <si>
    <t>Zakład Aktywności Zawodowej w Woli Rafałowskiej</t>
  </si>
  <si>
    <t>Zakład Aktywności Zawodowej w Jarosławiu</t>
  </si>
  <si>
    <t>Zakład Aktywności Zawodowej w Woli Dalszej</t>
  </si>
  <si>
    <t>Zakład Aktywności Zawodowej w Woli Żyrakowskiej</t>
  </si>
  <si>
    <t>Zakład Aktywności Zawodowej w Starych Oleszycach</t>
  </si>
  <si>
    <t xml:space="preserve">Zakład Aktywności Zawodowej Nr 1 w Krośnie </t>
  </si>
  <si>
    <t>Zakład Aktywności Zawodowej Nr 2 w Krośnie</t>
  </si>
  <si>
    <t>Zakład Aktywności Zawodowej w Rzeszowie (ul. Rejtana 10)</t>
  </si>
  <si>
    <t>Zakład Aktywności Zawodowej w Rzeszowie (ul. Tarnowska 107)</t>
  </si>
  <si>
    <t>Zakład Aktywności Zawodowej w Budach Głogowskich</t>
  </si>
  <si>
    <t xml:space="preserve">SZCZEGÓŁOWY PODZIAŁ DOTACJI CELOWYCH Z BUDŻETU DLA JEDNOSTEK SEKTORA FINANSÓW PUBLICZNYCH </t>
  </si>
  <si>
    <t>w  złotych</t>
  </si>
  <si>
    <t>Jednostki samorządu terytorialnego wg podziału dokonywanego przez Zarząd</t>
  </si>
  <si>
    <t>01042</t>
  </si>
  <si>
    <t>Dotacje celowe dla gmin z przeznaczeniem na modernizację dróg dojazdowych do gruntów rolnych, renowację zbiorników wodnych służących małej retencji oraz użyźnianie gleb o niskiej wartości produkcyjnej, ulepszanie rzeźby terenu i struktury przestrzennej gleb, usuwanie kamieni i odkrzaczanie.</t>
  </si>
  <si>
    <t>Dotacje celowe dla powiatów z przeznaczeniem na zakup sprzętu pomiarowego i informatycznego oraz oprogramowania niezbędnego do prowadzenia spraw ochrony gruntów rolnych, modernizację dróg dojazdowych do gruntów rolnych oraz renowację zbiorników wodnych służących małej retencji.</t>
  </si>
  <si>
    <t>Dotacje celowe dla gmin z przeznaczeniem na budowę i modernizację dróg dojazdowych do gruntów rolnych oraz budowę i renowację zbiorników wodnych służących małej retencji.</t>
  </si>
  <si>
    <t>Dotacje celowe dla powiatów z przeznaczeniem na zakup sprzętu pomiarowego i informatycznego oraz oprogramowania niezbędnego do prowadzenia spraw ochrony gruntów rolnych, budowę i modernizację dróg dojazdowych do gruntów rolnych oraz budowę i renowację zbiorników wodnych służących małej retencji.</t>
  </si>
  <si>
    <t xml:space="preserve">Jednostki samorządu terytorialnego </t>
  </si>
  <si>
    <t>Dotacje celowe dla  gmin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</si>
  <si>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Dotacje celowe dla  powiatów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</si>
  <si>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 xml:space="preserve">Dotacje celowe dla związków gmin i związków powiatowo - gminnych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 </t>
  </si>
  <si>
    <t>Komenda Wojewódzka Policji 
w Rzeszowie</t>
  </si>
  <si>
    <t>754</t>
  </si>
  <si>
    <t>75404</t>
  </si>
  <si>
    <t>Wpłata na Wojewódzki Fundusz Wsparcia Policji z przeznaczeniem na zakup sprzętu i wyposażenia specjalistycznego.</t>
  </si>
  <si>
    <r>
      <t>Bieszczadzki Oddział Straży Granicznej</t>
    </r>
    <r>
      <rPr>
        <sz val="10"/>
        <rFont val="Arial"/>
        <family val="2"/>
        <charset val="238"/>
      </rPr>
      <t xml:space="preserve"> w Przemyślu</t>
    </r>
  </si>
  <si>
    <t>75406</t>
  </si>
  <si>
    <t>Wpłata na Fundusz Wsparcia Bieszczadzkiego Oddziału Straży Granicznej  im. gen. bryg. Jana Tomasza Gorzechowskiego w Przemyślu z przeznaczeniem na zakup sprzętu i wyposażenia specjalistycznego.</t>
  </si>
  <si>
    <t>Komenda Wojewódzka Państwowej Staży Pożarnej w Rzeszowie</t>
  </si>
  <si>
    <t>75410</t>
  </si>
  <si>
    <t>Wpłata na Wojewódzki Fundusz Wsparcia Państwowej Straży Pożarnej  z przeznaczeniem na zakup sprzętu i wyposażenia specjalistycznego.</t>
  </si>
  <si>
    <t>Kliniczny Szpital Wojewódzki Nr 1 im. Fryderyka Chopina w Rzeszowie</t>
  </si>
  <si>
    <t>Realizacja zadań inwestycyjnych pn.: 
1) "Rozbudowa i modernizacja Podkarpackiego Centrum Onkologii wraz z zakupem wyposażenia" - 394.440,-zł,
2) "Zakup aparatury i sprzętu medycznego" - 2.701.914,-zł,
3) "Zakup robota chirurgicznego dla Podkarpackiego Centrum Chirurgii Robotycznej" - 10.000.000,-zł,
4) "Modernizacja i adaptacja pomieszczeń Kliniki Neurologii na potrzeby Kliniki Psychiatrii Ogólnej z utworzeniem Izby Przyjęć dla pacjentów psychiatrycznych" - 700.000,-zł,
5) "Profilaktyka, diagnostyka i kompleksowe leczenie chorób układu oddechowego z chirurgicznym i chemicznym leczeniem nowotworów klatki piersiowej na oddziałach klinicznych oraz rehabilitacją" - 3.200.000,-zł,
6) "Przebudowa pomieszczeń II piętra w budynku „A” i „BG” użytkowanych przez Klinikę Ginekologii i Położnictwa w Klinicznym Szpitalu Wojewódzkim nr 1 im. Fryderyka Chopina w Rzeszowie" - 9.000.000,-zł.</t>
  </si>
  <si>
    <t>cd.</t>
  </si>
  <si>
    <t>Realizacja zadań inwestycyjnych pn.: 
1) "Przebudowa Kliniki Neurologii Dzieci wraz z wyposażeniem medycznym i niemedycznym” - 2.201.389,-zł,
2) "Przebudowa budynku Histopatologii i Patomorfologii w Klinicznym Szpitalu Nr 2 im. Św. Jadwigi Królowej w Rzeszowie" - 4.142.953,-zł,
3) "Utworzenie Centrum Interwencyjnego Leczenia Udarów Mózgu w Klinicznym Szpitalu Nr 2 im. Św. Jadwigi Królowej w Rzeszowie" - 4.474.634,-zł, 
4) "Rozszerzenie działalności Podkarpackiego Centrum Zdrowia Dziecka wraz z rozbudową Klinicznego Szpitala Wojewódzkiego Nr 2 im. Św. Jadwigi Królowej w Rzeszowie" - 638.133,-zł,
5) "Poprawa jakości i dostępności do świadczeń medycznych w Klinicznym Szpitalu Wojewódzkim Nr 2 im. św. Jadwigi Królowej w Rzeszowie" - 528.776,-zł,
6) "Zakup systemu do nawigacji robotycznej dla ortopedii" - 7.600.000,-zł,
7) "Modernizacja Kliniki Ortopedii w KSW NR 2 w Rzeszowie" - 8.700.000,-zł.</t>
  </si>
  <si>
    <t>Wojewódzki Szpital Podkarpacki im. Jana Pawła II w Krośnie</t>
  </si>
  <si>
    <t xml:space="preserve">Wojewódzki Szpital im. Św. Ojca Pio w Przemyślu </t>
  </si>
  <si>
    <t>Realizacja zadań inwestycyjnych pn.: 
1) "Reorganizacja Oddziału Chirurgii Naczyniowej" - 1.500.000,-zł,
2) "Klimatyzacja Oddziałów Szpitalnych budynku „A” VII – VI piętra" - 441.090,-zł,
3) "Dostosowanie szpitala w ramach „Dostępność Plus”" - 1.470.300,-zł,
4) "Zakup aparatu RTG z ramieniem C wraz ze stołem operacyjnym oraz stanowiskiem do znieczulania" - 735.150,-zł,
5) "Utworzenie Transgranicznego Oddziału Obserwacyjno - Zakaźnego z Poradnią Leczenia Chorób Zakaźnych przy Wojewódzkim Szpitalu im. Św. Ojca Pio w Przemyślu" - 150.000,-zł,</t>
  </si>
  <si>
    <t>Wojewódzki Szpital im. Zofii z Zamoyskich Tarnowskiej w Tarnobrzegu</t>
  </si>
  <si>
    <t>Realizacja zadania inwestycyjnego pn.: 
„Modernizacja Oddziału Neurologii poprzez rozszerzenie o Pododdział Udarowy  polegająca na przebudowie pomieszczeń I pietra Pawilonu F 1 wraz z zakupem sprzętu i aparatury medycznej w Wojewódzkim Szpitalu im. Zofii z Zamoyskich Tarnowskiej w Tarnobrzegu”.</t>
  </si>
  <si>
    <t>Specjalistyczny Psychiatryczny Zespół Opieki Zdrowotnej im A. Kępińskiego w Jarosławiu</t>
  </si>
  <si>
    <t>Realizacja zadań inwestycyjnych pn. : 
1) "Modernizacja i rozbudowa budynku Nr 1" - 4.071.300,-zł,
2) "E-usługi w Specjalistycznym Psychiatrycznym Zespole Opieki Zdrowotnej im. prof. Antoniego Kępińskiego w Jarosławiu" - 2.110.178,-zł.</t>
  </si>
  <si>
    <t xml:space="preserve">Realizacja zadań inwestycyjnych pn.: 
1) "Rozbudowa instalacji Sygnalizacji Alarmu Pożarowego i systemu kontroli dostępu w budynku Oddziału Nr 1" - 69.874,-zł, 
2) "Modernizacja wyposażenia kuchni szpitalnej, zakup wyposażenia" - 58.893,-zł. </t>
  </si>
  <si>
    <t>Wojewódzki Zespół Specjalistyczny w Rzeszowie</t>
  </si>
  <si>
    <t>Realizację zadań inwestycyjnych pn.: 
1) "Wymiana przyłącza elektrycznego wraz z modernizacją rozdzielni elektrycznej w budynku przy ul. Warzywnej 3" - 98.148,-zł,
2) "Zakup Videonystagmografu oraz aparatu do badań ABR" - 155.401,-zł.</t>
  </si>
  <si>
    <r>
      <t>Podkarpackie Centrum Medyczn</t>
    </r>
    <r>
      <rPr>
        <sz val="10"/>
        <rFont val="Czcionka tekstu podstawowego"/>
        <charset val="238"/>
      </rPr>
      <t xml:space="preserve">e SP ZOZ </t>
    </r>
  </si>
  <si>
    <t>Realizację zadań inwestycyjnych pn.:  
1) "Zwiększenie efektywności energetycznej budynku Obwodu Lecznictwa Kolejowego w Rzeszowie poprzez termomodernizację i zastosowanie Odnawialnych Źródeł Energii" - 653.862,-zł,
2) "E-usługi w Obwodzie Lecznictwa Kolejowego w Rzeszowie" - 1.951.562,-zł.</t>
  </si>
  <si>
    <t>Wojewódzka Stacja Pogotowia Ratunkowego w Rzeszowie</t>
  </si>
  <si>
    <t>Wojewódzkiej Stacji Pogotowia Ratunkowego w Przemyślu</t>
  </si>
  <si>
    <t>Realizacja zadania inwestycyjnego pn.: 
„Dofinansowanie zakupu specjalistycznego sprzętu na doposażenie zespołów ratownictwa medycznego”.</t>
  </si>
  <si>
    <t>Wojewódzkiego Ośrodka Medycyny Pracy w Rzeszowie</t>
  </si>
  <si>
    <t>Realizacja zadania inwestycyjnego pn.: 
"Doposażenie aparatu USG w głowicę endowaginalną".</t>
  </si>
  <si>
    <t>Teatr im. W. Siemaszkowej 
w Rzeszowie</t>
  </si>
  <si>
    <t xml:space="preserve">Realizacja wskazanych zadań i programów: 
1) Międzynarodowy Dzień Teatru - 150.000,-zł,
2) 05. Międzynarodowy Festiwal Sztuk TRANS/MIJE - TRÓJMORZE'22 - 700.000,-zł,
3) Scena Wędrowna Teatru im. W. Siemaszkowej w Rzeszowie - 150.000,-zł. </t>
  </si>
  <si>
    <t>Realizacja zadań inwestycyjnych pn. 
1) "Wykonanie ogrodzenia zewnętrznego posesji Teatru od strony zachodniej i północnej z bramą o napędzie elektrycznym i automatyką" - 200.000,-zł.
2) "Opracowanie kompleksowej dokumentacji projektowo-kosztorysowej dla dostosowania budynków Teatru im. Wandy Siemaszkowej do obowiązujących przepisów ochrony pożarowej" - 550.000,-zł.
3) "Przygotowanie kompleksowej wielobranżowej dokumentacji architektoniczno-budowlanej dotyczącej budowy Nowej Sceny Teatru" - 570.000,-zł.</t>
  </si>
  <si>
    <t xml:space="preserve">Filharmonia Podkarpacka im. Artura Malawskiego w Rzeszowie </t>
  </si>
  <si>
    <t>Realizacja wskazanych zadań i programów:
organizacja cyklu koncertów pn. „Przestrzeń otwarta dla muzyki”.</t>
  </si>
  <si>
    <t>Realizacja zadań inwestycyjnych pn. 
1) "Przebudowa dachu nad budynkiem technicznym, wymiana gleby oraz roślinności" - 22.000,-zł,
2) "Zakup sprzętu multimedialnego, oświetleniowego i nagłośnieniowego" -374.000,-zł,
3) "Zakup samochodu dostawczego typu bus" - 150.000,-zł.</t>
  </si>
  <si>
    <t xml:space="preserve">Galeria Sztuki Współczesnej w Przemyślu </t>
  </si>
  <si>
    <t>Realizacja wskazanych zadań i programów:
Międzynarodowe Triennale Malarstwa Regionu Karpat – Srebrny Czworokąt 2021, Patronat Honorowy Prezydenta RP.</t>
  </si>
  <si>
    <t>Realizacja wskazanych zadań i programów: 
1) XIX Międzynarodowy Plener Artystyczny Wiklina w Arboretum – 20.000,-zł,
2) XI Międzynarodowy Festiwal Derenia – 15.000,-zł.</t>
  </si>
  <si>
    <t>Realizacja zadań inwestycyjnych pn.:
1) "Modernizacja szklarni - etap II" - 160.000,-zł,
2) "Budowa zaplecza edukacyjno - technicznego"- 390.000 ,-zł,
3) "Modernizacja kotłowni w budynku Dworu Michałowskiego" - 175.000,-zł,
4) "Zakup kosiarki samojezdnej" - 100.000,-zł,
5) "Budowa alejek ogrodowych" - 50.000,-zł,
6) "Budowa alejki i bezkolizyjnego przejścia" - 200.000,-zł.</t>
  </si>
  <si>
    <t>Wojewódzka i Miejska Biblioteka Publiczna w Rzeszowie</t>
  </si>
  <si>
    <t>Realizacja zadania inwestycyjnego pn.:
"Modernizacja i poprawa stanu infrastruktury informatycznej w Wojewódzkiej i Miejskiej Bibliotece Publicznej w Rzeszowie oraz uatrakcyjnienie wizerunku biblioteki".</t>
  </si>
  <si>
    <t>Realizacja wskazanych zadań i programów: 
wkład własny do zadania pn. "www.muzeach".</t>
  </si>
  <si>
    <t xml:space="preserve">Realizacja zadań inwestycyjnych pn.: 
1) "Prace remontowe, konserwatorskie i budowlane Oranżerii oraz Ujeżdżalni w ramach przedsięwzięcia "Ochrona i rozwój dziedzictwa kulturowego dawnej Ordynacji Łańcuckiej poprzez prace remontowo-konserwatorskie oraz wykreowanie nowych przestrzeni ekspozycyjnych OR-KA II, III, IV, VII" - 25.000,-zł,
2) "Instalacja systemu monitoringu parametrów klimatu w budynku Zamku i Biblioteki, Kasyna, Stajni i Powozowni" - 650.000,-zł,
3) "Wykonanie dokumentacji projektowej systemu automatycznego nawadniania wraz z niezbędnymi opiniami i uzgodnieniami umożliwiającymi otrzymanie decyzji administracyjnych (pozwolenia na budowę) oraz pełnienia nadzoru autorskiego" - 100.000,-zł,
4) "Modernizacja infrastruktury teleinformatycznej" - 400.000,-zł. </t>
  </si>
  <si>
    <t xml:space="preserve">Muzeum Okręgowe w Rzeszowie </t>
  </si>
  <si>
    <t>Muzeum Kultury Ludowej w Kolbuszowej</t>
  </si>
  <si>
    <t>Realizacja wskazanych zadań i programów: 
"Las w życiu i kulturze mieszkańców Rzeszowszczyzny"</t>
  </si>
  <si>
    <t>Realizacja wskazanych zadań i programów: 
"Interdyscyplinarne studium skarbów przedmiotów metalowych z epoki brązu i wczesnej epoki żelaza z okolic Sanoka".</t>
  </si>
  <si>
    <t>Muzeum Narodowe Ziemi Przemyskiej w Przemyślu</t>
  </si>
  <si>
    <t>Realizacja zadania inwestycyjnego pn.: 
"Podziemna Trasa Turystyczna w Przemyślu".</t>
  </si>
  <si>
    <t>Muzeum Budownictwa Ludowego 
w Sanoku</t>
  </si>
  <si>
    <t>Realizacja zadania inwestycyjnego: 
1) "Synagoga drewniana z Połańca - polichromia" - 120.000,-zł,
2) "System IT w Muzeum Budownictwa Ludowego w Sanoku" - 40.000,-zł,
3) "Zakup wielofunkcyjnego traktora z osprzętem" - 80.000,-zł.</t>
  </si>
  <si>
    <t>Realizacja wskazanych zadań i programów: 
"Prezentacja widowiska teatralnego opartego na utworze Marii Konopnickiej "Prometeusz i Syzyf" z publikacją".</t>
  </si>
  <si>
    <t xml:space="preserve">Realizacja zadań inwestycyjnych pn. 
1) "Restauracja i poprawa infrastruktury Muzeum Marii Konopnickiej w Żarnowcu" - 300.000,-zł,
2) "Zakup sprzętu i wyposażenia do prowadzenia działalności" - 25.000,-zł,
3) "Zakup muzealiów" - 50.000,-zł.  </t>
  </si>
  <si>
    <t xml:space="preserve"> WYKAZ DOTACJI  PRZEDMIOTOWYCH DLA JEDNOSTEK SPOZA SEKTORA FINANSÓW PUBLICZNYCH</t>
  </si>
  <si>
    <t xml:space="preserve">w  tym :  </t>
  </si>
  <si>
    <t xml:space="preserve">Krajowe pasażerskie przewozy autobusowe </t>
  </si>
  <si>
    <t>2630</t>
  </si>
  <si>
    <t>Dopłaty do krajowych autobusowych przewozów pasażerskich z tytułu stosowania w tych przewozach ustawowych ulg</t>
  </si>
  <si>
    <t>.</t>
  </si>
  <si>
    <t xml:space="preserve">WYKAZ DOTACJI CELOWYCH NA ZADANIA POWIERZONE DO REALIZACJI 
INNYM JEDNOSTKOM SAMORZĄDU TERYTORIALNEGO </t>
  </si>
  <si>
    <t>75075</t>
  </si>
  <si>
    <t>Promocja jednostek samorządu terytorialnego</t>
  </si>
  <si>
    <t>2330</t>
  </si>
  <si>
    <t>Województwo Warmińsko-Mazurskie</t>
  </si>
  <si>
    <t>Realizacja  porozumienia dotyczącego dofinansowania zadań związanych z funkcjonowaniem Domu Polski Wschodniej w Brukseli</t>
  </si>
  <si>
    <t xml:space="preserve">ZESTAWIENIE  DOCHODÓW  I  WYDATKÓW  ZWIĄZANYCH  
Z  REALIZACJĄ  ZADAŃ  WSPÓLNYCH  REALIZOWANYCH  NA  PODSTAWIE 
POROZUMIEŃ  MIĘDZY  JEDNOSTKAMI  SAMORZĄDU  TERYTORIALNEGO </t>
  </si>
  <si>
    <t xml:space="preserve">DOCHODY Z TYTUŁU DOTACJI OTRZYMANYCH NA PODSTAWIE POROZUMIEŃ 
Z JEDNOSTKAMI SAMORZĄDU TERYTORIALNEGO  </t>
  </si>
  <si>
    <t xml:space="preserve">Rozdział </t>
  </si>
  <si>
    <t>Działalność placówek opiekuńczo-wychowawczych</t>
  </si>
  <si>
    <t>KULTURA I OCHRONA DZIEDZICTWA NARODOWEGO</t>
  </si>
  <si>
    <t>92116</t>
  </si>
  <si>
    <t>Biblioteki</t>
  </si>
  <si>
    <t xml:space="preserve">WYDATKI  NA  ZADANIA  REALIZOWANE  NA  PODSTAWIE  POROZUMIEŃ  
Z  JEDNOSTKAMI  SAMORZĄDU  TERYTORIALNEGO  </t>
  </si>
  <si>
    <t>wynagrodzenia 
i składki od nich naliczane</t>
  </si>
  <si>
    <t>dotacje na zadania bieżące</t>
  </si>
  <si>
    <t>pozostałe 
wydatki bieżące</t>
  </si>
  <si>
    <t>KULTURA I OCHRONA 
DZIEDZICTWA NARODOWEGO</t>
  </si>
  <si>
    <t xml:space="preserve">PLAN DOCHODÓW GROMADZONYCH NA WYODRĘBNIONYM RACHUNKU PRZEZ WOJEWÓDZKIE OŚWIATOWE JEDNOSTKI BUDŻETOWE, 
ORAZ WYDATKÓW NIMI FINANSOWANYCH </t>
  </si>
  <si>
    <t>Nazwa  jednostki</t>
  </si>
  <si>
    <t>Dochody</t>
  </si>
  <si>
    <t>Wydatki</t>
  </si>
  <si>
    <t>DZIAŁ 801</t>
  </si>
  <si>
    <t>Rozdział 80102</t>
  </si>
  <si>
    <t xml:space="preserve">Zespół Szkół przy Klinicznym Szpitalu Wojewódzkim Nr 2 w Rzeszowie                 </t>
  </si>
  <si>
    <t>Zespół Szkół Specjalnych w Rymanowie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</si>
  <si>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</si>
  <si>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</si>
  <si>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</si>
  <si>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</si>
  <si>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Mielcu                         </t>
  </si>
  <si>
    <t>Medyczno-Społeczne Centrum Kształcenia Zawodowego 
i Ustawicznego w Rzeszowie</t>
  </si>
  <si>
    <t>Rozdział 80146</t>
  </si>
  <si>
    <t>Podkarpacki Zespół Placówek Wojewódzkich w Rzeszowie</t>
  </si>
  <si>
    <t>Rozdział 80147</t>
  </si>
  <si>
    <t>Pedagogiczna Biblioteka Wojewódzka w Krośnie</t>
  </si>
  <si>
    <t>Pedagogiczna Biblioteka Wojewódzka w Przemyślu</t>
  </si>
  <si>
    <t xml:space="preserve">Biblioteka Pedagogiczna w Tarnobrzegu  </t>
  </si>
  <si>
    <t>DZIAŁ 854</t>
  </si>
  <si>
    <t>Rozdział 85410</t>
  </si>
  <si>
    <t>Rozdział 85417</t>
  </si>
  <si>
    <t xml:space="preserve">       OGÓŁEM </t>
  </si>
  <si>
    <t>Plan dochodów na 2022 r. według działów, rozdziałów, paragrafów klasyfikacji budżetowej oraz źródeł dochodów</t>
  </si>
  <si>
    <t>(według działów, rozdziałów, paragrafów klasyfikacji budżetowej oraz źródeł pochodzenia i rodzajów dochodów)</t>
  </si>
  <si>
    <t>w zlotych</t>
  </si>
  <si>
    <t>Rozdz.</t>
  </si>
  <si>
    <t>Źródło pochodzenia</t>
  </si>
  <si>
    <t>Plan wg uchwały budżetowej Sejmiku na 2021 r.</t>
  </si>
  <si>
    <t>Plan dochodów na 2021 r. wg stanu na 31.08.2021 r. - przewidywane wykonanie dochodów w 2021 r.</t>
  </si>
  <si>
    <t>Prognozowana kwota na 2022r.</t>
  </si>
  <si>
    <t>%
(7:5)</t>
  </si>
  <si>
    <t xml:space="preserve">Zmiany </t>
  </si>
  <si>
    <t>Plan na 2022 r.</t>
  </si>
  <si>
    <t>Uwagi dotyczące kwot dochodów prognozowanych na 2022r.</t>
  </si>
  <si>
    <t>% zmiana planu (6:5)</t>
  </si>
  <si>
    <t>1.</t>
  </si>
  <si>
    <t>2.</t>
  </si>
  <si>
    <t>3.</t>
  </si>
  <si>
    <t>4.</t>
  </si>
  <si>
    <t>5.</t>
  </si>
  <si>
    <t>7.</t>
  </si>
  <si>
    <t>8.</t>
  </si>
  <si>
    <t>9.</t>
  </si>
  <si>
    <t>11.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</si>
  <si>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</si>
  <si>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</si>
  <si>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</si>
  <si>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</si>
  <si>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0750</t>
  </si>
  <si>
    <t>0830</t>
  </si>
  <si>
    <t>0970</t>
  </si>
  <si>
    <t>b) dochody majątkowe</t>
  </si>
  <si>
    <t xml:space="preserve">Dochody realizowane przez Podkarpackie Biuro Geodezji 
i Terenów Rolnych w Rzeszowie </t>
  </si>
  <si>
    <t>0870</t>
  </si>
  <si>
    <t>01041</t>
  </si>
  <si>
    <t>Program Rozwoju Obszarów Wiejskich</t>
  </si>
  <si>
    <t>Dochody realizowane przez Urząd Marszałkowski Województwa Podkarpackiego</t>
  </si>
  <si>
    <t>0950</t>
  </si>
  <si>
    <t>Dotacja celowa z budżetu państwa na finansowanie wydatków objętych Pomocą Techniczną Programu Rozwoju Obszarów Wiejskich na lata 2014 - 2020</t>
  </si>
  <si>
    <t>Brak potwierdzenia przyznania dotacji.</t>
  </si>
  <si>
    <t>Dotacja celowa z budżetu państwa na współfinansowanie wydatków objętych Pomocą Techniczną Programu Rozwoju Obszarów Wiejskich na lata 2014 - 2020</t>
  </si>
  <si>
    <t>Wyłączenie z produkcji gruntów rolnych</t>
  </si>
  <si>
    <t>Wpływy z tytułu opłat za wyłączenie z produkcji gruntów rolnych</t>
  </si>
  <si>
    <t>0690</t>
  </si>
  <si>
    <t>Odsetki od zwrotu części dotacji wykorzystanej niezgodnie z przeznaczeniem na modernizację dróg dojazdowych do gruntów rolnych</t>
  </si>
  <si>
    <t>0920</t>
  </si>
  <si>
    <t>Zwrot części dotacji wykorzystanej niezgodnie z przeznaczeniem na modernizację dróg dojazdowych do gruntów rolnych</t>
  </si>
  <si>
    <t>2910</t>
  </si>
  <si>
    <t>Zwrot cześci dotacji pobranej w nadmiernej wysokości na budowę i modernizację dróg dojazdowych do gruntów rolnych</t>
  </si>
  <si>
    <t>Zwrot wypłaconego na rzecz osoby fizycznej odszkodowania za szkody łowieckie wyrządzone w uprawach i płodach rolnych przez zwierzęta łowne na obszarach niewchodzących w skład obwodów łowieckich</t>
  </si>
  <si>
    <t>0940</t>
  </si>
  <si>
    <t xml:space="preserve">Dotacje celowe otrzymane z budżetu państwa na zadania bieżące z zakresu administracji rządowej oraz inne zadania zlecone ustawami realizowane przez samorząd województwa </t>
  </si>
  <si>
    <t>Dotacja otrzymana z Wojewódzkiego Funduszu Ochrony Środowiska i Gospodarki Wodnej w Rzeszowie</t>
  </si>
  <si>
    <t>050</t>
  </si>
  <si>
    <t xml:space="preserve">RYBOŁÓWSTWO I RYBACTWO </t>
  </si>
  <si>
    <t>05011</t>
  </si>
  <si>
    <t>Program Operacyjny Zrównoważony rozwój sektora rybołówstwa i nadbrzeżnych obszarów rybackich 2007 - 2013 oraz Program Operacyjny Rybactwo i Morze 2014 - 2020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</si>
  <si>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</si>
  <si>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</si>
  <si>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5% dochodów uzyskiwanych na rzecz budżetu państwa w związku z realizacją zadań z zakresu administracji rządowej oraz innych zadań zleconych ustawami</t>
  </si>
  <si>
    <t xml:space="preserve">b) dochody majątkowe </t>
  </si>
  <si>
    <t>150</t>
  </si>
  <si>
    <t>PRZETWÓRSTWO PRZEMYSŁOWE</t>
  </si>
  <si>
    <t>15011</t>
  </si>
  <si>
    <t>Rozwój przedsiębiorczości</t>
  </si>
  <si>
    <t>Wpływy z odsetek od dotacji oraz płatności: wykorzystanych niezgodnie z przeznaczeniem lub wykorzystanych z naruszeniem procedur, o których mowa w art. 184 ustawy, pobranych nienależnie lub w nadmiernej wysokości</t>
  </si>
  <si>
    <t>0900</t>
  </si>
  <si>
    <t>Wpływy ze zwrotów dotacji oraz płatności wykorzystanych niezgodnie z przeznaczeniem lub wykorzystanych z naruszeniem procedur, o których mowa w art. 184 ustawy, pobranych nienależnie lub w nadmiernej wysokości</t>
  </si>
  <si>
    <t xml:space="preserve">Zwrot przez partnera części niewykorzystanej dotacji na realizację projektu pn. „Podkarpacka Platforma Wsparcia Biznesu” w ramach Regionalnego Programu Operacyjnego Województwa Podkarpackiego na lata 2014-2020 </t>
  </si>
  <si>
    <t>Wpływy ze zwrotów dotacji oraz płatności wykorzystanych niezgodnie z przeznaczeniem lub wykorzystanych z naruszeniem procedur, o których mowa w art. 184 ustawy, pobranych nienależnie lub w nadmiernej wysokości, dotyczące dochodów majątkowych</t>
  </si>
  <si>
    <t>b) dochody majątkowe, w tym: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</si>
  <si>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2007-2013 </t>
  </si>
  <si>
    <t>15013</t>
  </si>
  <si>
    <t>Rozwój kadr nowoczesnej gospodarki i przedsiębiorczości</t>
  </si>
  <si>
    <t>Krajowe pasażerskie przewozy kolejowe</t>
  </si>
  <si>
    <t>Dzierżawa autobusów szynowych</t>
  </si>
  <si>
    <t>Zwrot podatku VAT od dostaw pojazdów szynowych</t>
  </si>
  <si>
    <t>Wpływ kary umownej za niedotrzymanie wskaźnika niezawodności (Wn) pojazdu szynowego</t>
  </si>
  <si>
    <t>Dotacje celowe otrzymane od samorządu województwa na zadania bieżące realizowane na podstawie porozumień (umów) między jednostkami samorządu terytorialnego</t>
  </si>
  <si>
    <t xml:space="preserve">Środki otrzymane z państwowych funduszy celowych na realizację zadań bieżących jednostek sektora finansów publicznych </t>
  </si>
  <si>
    <t>2170</t>
  </si>
  <si>
    <t>Dotacja celowa otrzymana z tytułu pomocy finansowej udzielanej między jednostkami samorządu terytorialnego na dofinansowanie własnych zadań bieżących</t>
  </si>
  <si>
    <t>2710</t>
  </si>
  <si>
    <t>Zwrot przez operatora kolejowego niewykorzystanej rekompensaty na realizacaję połączeń kolejowych w relacji Rzeszów - Sandomierz - Stalowa Wola</t>
  </si>
  <si>
    <t>2950</t>
  </si>
  <si>
    <t xml:space="preserve">Zwrot przez Województwo Małopolskie niewykorzystanej pomocy finansowej na dofinansowanie zadań związanych z organizacją kolejowych przewozów pasażerskich w relacji Kraków - Jasło i Nowy Sącz - Jasło </t>
  </si>
  <si>
    <t>Środki pochodzące z budżetu Unii Europejskiej na realizację zadania pn.: "Zakup taboru kolejowego do wykonywania przewozów pasażerskich na terenie Województwa Podkarpackiego" - w ramach Regionalnego Programu Operacyjnego Wojewó na lata 2014 - 2020</t>
  </si>
  <si>
    <t xml:space="preserve">Środki otrzymane z państwowych funduszy celowych na finansowanie lub dofinansowanie kosztów realizacji inwestycji i zakupów inwestycyjnych jednostek sektora finansów publicznych </t>
  </si>
  <si>
    <t>Infrastruktura kolejowa</t>
  </si>
  <si>
    <t>a) dochody bieżące</t>
  </si>
  <si>
    <t>Środki pochodzące z budżetu Unii Europejskiej na realizację zadania pn. "Budowa Podmiejskiej Kolei Aglomeracyjnej - PKA: Budowa i modernizacja linii kolejowych oraz infrastruktury przystankowej" w ramach Programu Operacyjnego Infrastruktura i Środowisko na lata 2014 - 2020</t>
  </si>
  <si>
    <t>Środki pochodzące z budżetu Unii Europejskiej na realizację zadania pn. "Budowa Podmiejskiej Kolei Aglomeracyjnej - PKA": budowa zaplecza technicznego - w ramach Programu Operacyjnego Infrastruktura i Środowisko na lata 2014 - 2020</t>
  </si>
  <si>
    <t>Brak potwierdzenia przyznanej dotacji.</t>
  </si>
  <si>
    <t>Zwrot przez przewoźnika autobusowego dotacji wykorzystanej niezgodnie z przeznaczeniem</t>
  </si>
  <si>
    <t>Zwrot przez Gminę Baranów Sandomierski niewykorzystanej dotacji na sfinansowanie strat z tytułu utraconych przychodów w związku ze stosowaniem ustawowych uprawnień do ulgowych przejazdów w przewozach o charakterze użyteczności publicznej</t>
  </si>
  <si>
    <t xml:space="preserve">Opłaty za wydawanie zezwoleń na regularny przewóz osób </t>
  </si>
  <si>
    <t>0620</t>
  </si>
  <si>
    <t>2360</t>
  </si>
  <si>
    <t>Drogi publiczne wojewódzkie</t>
  </si>
  <si>
    <t>Dochody realizowane przez Podkarpacki Zarząd Dróg Wojewódzkich w Rzeszowie</t>
  </si>
  <si>
    <t xml:space="preserve">Dotacje celowe otrzymane z budżetu państwa na realizację bieżących zadań własnych samorządu województwa </t>
  </si>
  <si>
    <t>2230</t>
  </si>
  <si>
    <t xml:space="preserve">Środki pozyskane z nadleśnictw na dofinansowanie własnych zadań bieżących Samorządu Województwa </t>
  </si>
  <si>
    <t>2700</t>
  </si>
  <si>
    <t>Wpływ z tytułu pomocy finansowej udzielanej między jednostkami samorządu terytorialnego na dofinansowanie własnych zadań bieżących</t>
  </si>
  <si>
    <t>Środki z Funduszu Przeciwdziałania COVID-19 na finansowanie lub dofinansowanie kosztów realizacji inwestycji i zakupów inwestycyjnych związanych z przeciwdziałaniem COVID-19 (Rządowy Fundusz Polski Ład Program Inwestycji Strategicznych)</t>
  </si>
  <si>
    <t>Środki pochodzące z budżetu Unii Europejskiej na realizację projektu  własnego pn. "Budowa nowego odcinka drogi wojewódzkiej Nr 992 w miejscowości Jasło" w ramach Programu Współpracy Transgranicznej Interreg V-A Polska - Słowacja na lata 2014 - 2020</t>
  </si>
  <si>
    <t>6208</t>
  </si>
  <si>
    <t>Środki pochodzące z budżetu Unii Europejskiej na realizację projektu  własnego pn. "Modernizacja drogi wojewódzkiej Nr 993 Gorlice - Nowy Żmigród - Dukla na odcinku Pielgrzymka - Nowy Żmigród" w ramach  Programu Współpracy Transgranicznej Interreg V-A Polska - Słowacja na lata 2014 - 2020</t>
  </si>
  <si>
    <t>Środki pochodzące z budżetu Unii Europejskiej na realizację projektu  własnego pn. "Rozbudowa drogi wojewódzkiej Nr 867 na odcinku Lubaczów do Basznia Górna" w ramach Programu Współpracy Transgranicznej Polska - Białoruś - Ukraina 2014 - 2020</t>
  </si>
  <si>
    <t>Środki pochodzące z budżetu Unii Europejskiej na realizację inwestycji drogowych w ramach Programu Operacyjnego Polska Wschodnia na lata 2014-2020</t>
  </si>
  <si>
    <t>6257</t>
  </si>
  <si>
    <t>Środki pochodzące z budżetu Unii Europejskiej na realizację projektu własnego pn. „Rozbudowa drogi wojewódzkiej Nr 867 od km 37+142 do km 37+810 (ul. Wyszyńskiego w Lubaczowie)” w ramach Programu Współpracy Transgranicznej Polska – Białoruś – Ukraina 2014 – 2021</t>
  </si>
  <si>
    <t>Środki pochodzące z budżetu Unii Europejskiej na realizację projektu własnego pn."Rozbudowa drogi wojewódzkiej nr 885 Przemyśl-Hermanowice-Granica Państwa"  w ramach Programu Współpracy Transgranicznej Polska - Białoruś - Ukraina 2014 - 2020</t>
  </si>
  <si>
    <t>Środki pochodzące z budżetu Unii Europejskiej na realizację projektu własnego pn. "Rozbudowa drogi wojewódzkiej Nr 867 na odcinku Lubaczów do Basznia Górna" w ramach Programu Współpracy Transgranicznej Polska - Białoruś - Ukraina 2014 - 2020</t>
  </si>
  <si>
    <t>Środki otrzymane do pozostałych jednostek zaliczanych do sektora finansów publicznych na finansowanie lub dofinansowanie kosztów realizacji inwestycji i zakupów inwestycyjnych jednostek zaliczanych do sektora finansów publicznych</t>
  </si>
  <si>
    <t xml:space="preserve">Środki pozyskane z nadleśnictw na dofinansowanie własnych zadań inwestycyjnych Samorządu Województwa </t>
  </si>
  <si>
    <t>Dotacja celowa otrzymana z tytułu pomocy finansowej udzielanej między jednostkami samorządu terytorialnego na dofinansowanie własnych zadań inwestycyjnych i zakupów inwestycyjnych</t>
  </si>
  <si>
    <t>Środki z państwowych funduszy celowych na finansowanie lub dofinansowanie kosztów realizacji inwestycji i zakupów inwestycyjnych jednostek sektora finansów publicznych</t>
  </si>
  <si>
    <t>Dotacje celowe otrzymane z budżetu państwa na realizację inwestycji i zakupów inwestycyjnych własnych samorządu województwa</t>
  </si>
  <si>
    <t xml:space="preserve">Dochody z tytułu opłat za wpis do rejestru przedsiębiorców prowadzących pracownię psychologiczną, opłat za wpis do ewidencji uprawnionych psychologów, opłat za wpis do ewidencji uprawnionych lekarzy i opłat za wpis do ewidwencji uprawnionych egzaminatorów wynikających z ustawy o kierujących pojazdami </t>
  </si>
  <si>
    <t>Zadania w zakresie upowszechniania turystyki</t>
  </si>
  <si>
    <t>Odsetki od zwrotu części dotacji wykorzystanej niezgodnie z przeznaczeniem, pobranej nienależnie lub w nadmiernej wysokości na realizację zadania z zakresu upowszechniania turystyki</t>
  </si>
  <si>
    <t>Środki pochodzące z budżetu Unii Europejskiej jako refundacja wydatków poniesionych ze środków własnych na realizację projektu pn. "Góry bez granic - integracja sieci szlaków w transgraniczny produkt turystyczny" w ramach Programu Współpracy Transgranicznej INTERREG V-A Polska - Słowacja 2014-2020</t>
  </si>
  <si>
    <t>Zwrot części dotacji wykorzystanej niezgodnie z przeznaczeniem, pobranej nienależnie lub w nadmiernej wysokości na realizację zadania z zakresu upowszechniania turystyki</t>
  </si>
  <si>
    <t>GOSPODARKA MIESZKANIOWA</t>
  </si>
  <si>
    <t>Gospodarka gruntami i nieruchomościami</t>
  </si>
  <si>
    <t>Opłaty za trwały zarząd, użytkowanie i służebność</t>
  </si>
  <si>
    <t>0470</t>
  </si>
  <si>
    <t>Wpływy z opłat z tytułu użytkowania wieczystego nieruchomości</t>
  </si>
  <si>
    <t>0550</t>
  </si>
  <si>
    <t xml:space="preserve">Dochody z najmu i dzierżawy składników majątkowych </t>
  </si>
  <si>
    <t>Wpływy z usług (media)</t>
  </si>
  <si>
    <t>Wpływy z tytułu przekształcenia prawa użytkowania wieczystego w prawo własności</t>
  </si>
  <si>
    <t>0760</t>
  </si>
  <si>
    <t>Dochody ze sprzedaży mienia będącego w zasobie Województwa: działki okołolotniskowe</t>
  </si>
  <si>
    <t>0770</t>
  </si>
  <si>
    <t>Działki okołolotniskowe.</t>
  </si>
  <si>
    <t>Biura planowania przestrzennego</t>
  </si>
  <si>
    <t xml:space="preserve">Dochody realizowane przez Podkarpackie Biuro Planowania Przestrzennego w Rzeszowie </t>
  </si>
  <si>
    <t xml:space="preserve">Dochody realizowane przez Wojewódzki Ośrodek Dokumentacji Geodezyjnej i Kartograficznej w Rzeszowie </t>
  </si>
  <si>
    <t>Odsetki od zwrotu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</si>
  <si>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0909</t>
  </si>
  <si>
    <t>2210</t>
  </si>
  <si>
    <t>Zwrot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</si>
  <si>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2917</t>
  </si>
  <si>
    <t>INFORMATYKA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</si>
  <si>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</si>
  <si>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>Wpływy z tytułu sprzedaży udziału</t>
  </si>
  <si>
    <t>0780</t>
  </si>
  <si>
    <t xml:space="preserve">SZKOLNICTWO WYŻSZE I NAUKA </t>
  </si>
  <si>
    <t>Pomoc materialna dla studentów i doktorantów</t>
  </si>
  <si>
    <t>Odsetki od zwrotu części stypendiów udzielonych w ramach programu pn."Stypendia Marszałka Województwa Podkarpackiego" w 2019 r.</t>
  </si>
  <si>
    <t xml:space="preserve">Zwrot części stypendiów udzielonych w ramach programu pn. „Stypendia Marszałka Województwa Podkarpackiego” w 2020 roku </t>
  </si>
  <si>
    <t>Rozliczenia środków ewidencjonowanych do 2018 r. w działach "730 - Nauka" i "803 - Szkolnictwo wyższe"</t>
  </si>
  <si>
    <t>Odsetki od zwrotów części stypendiów udzielonych w ramach projektu pn. "Podkarpacki fundusz stypendialny dla doktorantów" w ramach Programu Operacyjnego Kapitał Ludzki</t>
  </si>
  <si>
    <t>0929</t>
  </si>
  <si>
    <t>Zwrot części stypendiów udzielonych w ramach projektu pn. "Podkarpacki fundusz stypendialny dla doktorantów" w ramach Programu Operacyjnego Kapitał Ludzki</t>
  </si>
  <si>
    <t>0947</t>
  </si>
  <si>
    <t>0949</t>
  </si>
  <si>
    <t xml:space="preserve">Zwrot nadpłaconej diety w ramach realizacji projektu pn.: "Inteligentne specjalizacje - narzędzie wzrostu innowacyjności i konkurencyjności województwa podkarpackiego" w ramach Regionalnego Programu Operacyjnego Województwa Podkarpackiego na lata 2014-2020 </t>
  </si>
  <si>
    <t>Środki pochodzące z budżetu Unii Europejskiej jako refundacja wydatków poniesionych ze środków własnych na realizację projektu pn. "Zachowanie i promocja dziedzictwa przyrodniczego i kulturowego poprzez Zielone Szlaki" w ramach Programu INTERREG EUROPA 2014-2020</t>
  </si>
  <si>
    <t>2058</t>
  </si>
  <si>
    <t>Środki pochodzące z budżetu Unii Europejskiej jako refundacja wydatków poniesionych ze środków własnych na realizację projektu pn. "Żywe laboratorium polityki publicznej" w ramach Programu INTERREG EUROPA 2014-2020</t>
  </si>
  <si>
    <t>Zwrot części niewykorzystanej dotacji na organizację wydarzeń popularyzujących naukę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</si>
  <si>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</si>
  <si>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</si>
  <si>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0630</t>
  </si>
  <si>
    <t>0640</t>
  </si>
  <si>
    <t>Dotacja celowa z Funduszu Pracy na obsługę staży podyplomowych lekarzy i lekarzy dentystów</t>
  </si>
  <si>
    <t>2440</t>
  </si>
  <si>
    <t>Środki pochodzące z budżetu Unii Europejskiej na realizację projektu pn. "Naftowe dziedzictwo działalności Ignacego Łukasiewicza" w ramach Programu Współpracy Transgranicznej Polska - Białoruś - Ukraina na lata 2014-2020</t>
  </si>
  <si>
    <t>2008</t>
  </si>
  <si>
    <t>Środki pochodzące z budżetu Unii Europejskiej jako refundacja wydatków poniesionych ze środków własnych na realizację projektu pn. "Szlak Maryjny (Światło ze Wschodu)" w ramach Programu Współpracy Transgranicznej INTERREG V-A Polska - Słowacja 2014-2020</t>
  </si>
  <si>
    <t>2059</t>
  </si>
  <si>
    <t>Odsetki od zwrotu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</si>
  <si>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Środki pochodzące z budżetu Unii Europejskiej na realizację projektu pn. „Zintegrowany i uspołeczniony model planowania przestrzennego poprzez opracowanie Strategii Przestrzennej Rzeszowskiego Obszaru Funkcjonalnego” w ramach Programu Operacyjnego Wiedza Edukacja Rozwój na lata 2014 - 2020</t>
  </si>
  <si>
    <t>2007</t>
  </si>
  <si>
    <t>Środki pochodzące z budżetu Unii Europejskiej na realizację projektu pn. "Wysokie standardy obsługi inwestora w samorządach województwa podkarpackiego" w ramach Programu Operacyjnego Wiedza Edukacja Rozwój na lata 2014 - 2020</t>
  </si>
  <si>
    <t>Środki pochodzące z budżetu Unii Europejskiej na realizację projektu pn. „Punkty Informacyjne Funduszy Europejskich” w ramach Programu Operacyjnego Pomoc Techniczna na lata 2014-2020</t>
  </si>
  <si>
    <t xml:space="preserve">Środki pochodzące z budżetu Unii Europejskiej na realizację projektu pn. 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</si>
  <si>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</si>
  <si>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</si>
  <si>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pn.: „Zintegrowany i uspołeczniony model planowania przestrzennego poprzez opracowanie Strategii Przestrzennej Rzeszowskiego Obszaru Funkcjonalnego” w ramach Programu Operacyjnego Wiedza Edukacja Rozwój na lata 2014 - 2020</t>
  </si>
  <si>
    <t>Dotacja celowa z budżetu państwa na realizację projektu pn. "Wysokie standardy obsługi inwestora w samorządach województwa podkarpackiego" w ramach Programu Operacyjnego Wiedza Edukacja Rozwój na lata 2014 - 2020</t>
  </si>
  <si>
    <t>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</si>
  <si>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 xml:space="preserve">Dotacja celowa z budżetu państwa na realizację projektu pn.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</si>
  <si>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pn.: "Funkcjonowanie Oddziału Programu Współpracy Transgranicznej EIS Polska - Białoruś - Ukraina 2014-2020 w Rzeszowie" w ramach Programu Współpracy Transgranicznej Polska - Białoruś - Ukraina 2014-2020</t>
  </si>
  <si>
    <t xml:space="preserve">Środki pochodzące z budżetu Unii Europejskiej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</si>
  <si>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z budżetu państwa na realizację projektu pn. „Zintegrowany i uspołeczniony model planowania przestrzennego poprzez opracowanie Strategii Przestrzennej Rzeszowskiego Obszaru Funkcjonalnego” w ramach Programu Operacyjnego Wiedza, Edukacja, Rozwój na lata 2014 - 2020</t>
  </si>
  <si>
    <t xml:space="preserve">Dotacja celowa z budżetu państwa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</si>
  <si>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otrzymane z tytułu pomocy finansowej udzielanej między jednostkami samorządu terytorialnego na dofinansowanie własnych zadań bieżących</t>
  </si>
  <si>
    <t>Zwrot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</si>
  <si>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'Środki pochodzące z budżetu Unii Europejskiej na realizację projektu pn."Przygotowanie dokumentacji technicznej i projektowej niezbędnej do rozbudowy sieci turystycznych tras rowerowych na terenie Bieszczad i włączenie ich do szlaku rowerowego Green Velo" w ramach Programu Operacyjnego Pomoc Techniczna 2014-2020</t>
  </si>
  <si>
    <t>'Dotacja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</si>
  <si>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„Zintegrowany i uspołeczniony model planowania przestrzennego poprzez opracowanie Strategii Przestrzennej Rzeszowskiego Obszaru Funkcjonalnego” w ramach Programu Operacyjnego Wiedza Edukacja Rozwój na lata 2014 - 2020</t>
  </si>
  <si>
    <t>Zwrot części niewykorzystanych dotacji przez beneficjentów Regionalnego Programu Operacyjnego Województwa Podkarpackiego na lata 2014-2020</t>
  </si>
  <si>
    <t>BEZPIECZEŃSTWO PUBLICZNE I OCHRONA PRZECIPOŻAROWA</t>
  </si>
  <si>
    <t>Zarządzanie kryzysowe</t>
  </si>
  <si>
    <t>Dotacja celowa otrzymana z gminy na zadania bieżące realizowane na podstawie porozumień (umów) między jednostkami samorządu terytorialnego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</si>
  <si>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</si>
  <si>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</si>
  <si>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eksploatacyjne za wydobywanie węglowodorów ze złóż zlokalizowanych na terenie województwa podkarpackiego</t>
  </si>
  <si>
    <t>0460</t>
  </si>
  <si>
    <t>Opłaty za wydanie zezwoleń na obrót hurtowy napojami alkoholowymi.</t>
  </si>
  <si>
    <t>0480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</si>
  <si>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</si>
  <si>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</si>
  <si>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</si>
  <si>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</si>
  <si>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Zgodnie z WPF. Otrzymano zawiadomienie z Ministerstwa Finansów, Funduszy i Polityki Regionalnej. Możliwe zwiększenie o 938.775,-zł.</t>
  </si>
  <si>
    <t>Udział w podatku dochodowym od osób prawnych</t>
  </si>
  <si>
    <t>0020</t>
  </si>
  <si>
    <t>Zgodnie z WPF. Otrzymano zawiadomienie z Ministerstwa Finansów, Funduszy i Polityki Regionalnej. Możliwe zwiększenie o 126.535.355,-zł.</t>
  </si>
  <si>
    <t>RÓŻNE ROZLICZENIA</t>
  </si>
  <si>
    <t>Część oświatowa subwencji ogólnej dla jednostek samorządu terytorialnego</t>
  </si>
  <si>
    <t>Subwencje ogólne z budżetu państwa</t>
  </si>
  <si>
    <t>Zgodnie z WPF. Otrzymano zawiadomienie z Ministerstwa Finansów, Funduszy i Polityki Regionalnej. Konieczne zmniejszenie o 1.513.860,-zł.</t>
  </si>
  <si>
    <t>Uzupełnienie subwencji ogólnej dla jednostek samorządu terytorialnego</t>
  </si>
  <si>
    <t>Środki z rezerwy subwencji ogólnej z przeznaczeniem na dofinansowanie budowy, przebudowy, remontu, utrzymania, ochrony dróg wojewódzkich i zarządzania tymi drogami</t>
  </si>
  <si>
    <t>Dochody planowane w rozdziale 75819.</t>
  </si>
  <si>
    <t>Subwencje ogólne z budżetu państwa na dofinansowanie budowy, przebudowy, remontu, utrzymania, ochrony dróg wojewódzkich i zarządzania tymi drogami.</t>
  </si>
  <si>
    <t>Uzupełnienie subwencji ogólnej dla jednostek samorządu terytorialnego z tytułu środków na inwestycje na drogach publicznych, powiatowych i wojewódzkich oraz na drogach powiatowych, wojewódzkich i krajowych w granicach miast na prawach powiatu</t>
  </si>
  <si>
    <t>Część wyrównawcza subwencji ogólnej dla województw</t>
  </si>
  <si>
    <t>Zgodnie z WPF. Otrzymano zawiadomienie z Ministerstwa Finansów, Funduszy i Polityki Regionalnej. Możliwe zwiększenie o 101.088.919,-zł.</t>
  </si>
  <si>
    <t>Różne rozliczenia finansowe</t>
  </si>
  <si>
    <t>Odsetki od środków na rachunkach lokat terminowych</t>
  </si>
  <si>
    <t>Wpływy do rozliczenia</t>
  </si>
  <si>
    <t>Środki "Rządowego Funduszu Inwestycji Lokalnych" z przeznczeniem na realizację zadań związanych z przeciwdziałaniem Covid-19.</t>
  </si>
  <si>
    <t>6290</t>
  </si>
  <si>
    <t>Rezerwa subwencji ogólnej dla województw</t>
  </si>
  <si>
    <t>2770</t>
  </si>
  <si>
    <t>Zgodnie z WPF. Otrzymano zawiadomienie z Ministerstwa Finansów, Funduszy i Polityki Regionalnej. Możliwe ustalenie kwoty 20.841.827,-zł.</t>
  </si>
  <si>
    <t>Część regionalna subwencji ogólnej dla województw</t>
  </si>
  <si>
    <t>2920</t>
  </si>
  <si>
    <t>Zgodnie z WPF. Otrzymano zawiadomienie z Ministerstwa Finansów, Funduszy i Polityki Regionalnej. Możliwe zwiększenie o 29.330.234,-zł.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</si>
  <si>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</si>
  <si>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</si>
  <si>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</si>
  <si>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</si>
  <si>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współfinansowanie projektów realizowanych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</si>
  <si>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</si>
  <si>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Dotacja celowa z budżetu państwa jako refundacja wydatków poniesionych ze środków własnych na współfinansowanie projektów własnych realizowanych w ramach Regionalnego Programu Operacyjnego Województwa Podkarpackiego na lata 2014 - 2020</t>
  </si>
  <si>
    <t>Regionalne Programy Operacyjne 2014 - 2020 finansowane z udziałem środków Europejskiego Funduszu Społecznego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</si>
  <si>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</si>
  <si>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własnych w ramach Regionalnego Programu Operacyjnego Województwa Podkarpackiego na lata 2014 - 2020</t>
  </si>
  <si>
    <t>Dotacja celowa z budżetu państwa na współfinansowanie projektów własnych i realizowanych przez beneficjentów 
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</si>
  <si>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</si>
  <si>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OŚWIATA I WYCHOWANIE</t>
  </si>
  <si>
    <t>Szkoły podstawowe specjalne</t>
  </si>
  <si>
    <t>Dochody realizowane przez jednostki oświatowe</t>
  </si>
  <si>
    <t>Wpływy do budżetu niewykorzystanych środków finansowych gromadzonych na wyodrębnionym rachunku jednostki budżetowej</t>
  </si>
  <si>
    <t>2400</t>
  </si>
  <si>
    <t>Szkoły policealne</t>
  </si>
  <si>
    <t>Dotacja celowa otrzymana z budżetu państwa na realizację bieżących zadań własnych samorządu województwa</t>
  </si>
  <si>
    <t>Szkoły zawodowe</t>
  </si>
  <si>
    <t>Dokształcanie i doskonalenie nauczycieli</t>
  </si>
  <si>
    <t>Dotacja celowa z budżetu państwa na realizację projektu pn. "Zdrowy styl życia - myślimy globalnie działamy lokalnie" w ramach Programu Edukacja Mechanizmu Finansowego Europejskiego Obszaru Gospodarczego na lata 2014-2021</t>
  </si>
  <si>
    <t>2006</t>
  </si>
  <si>
    <t>Środki pochodzące z budżetu Unii Europejskiej na realizację projektu pn. "Zdrowy styl życia - myślimy globalnie działamy lokalnie" w ramach Programu Edukacja Mechanizmu Finansowego Europejskiego Obszaru Gospodarczego na lata 2014-2021</t>
  </si>
  <si>
    <t>Środki pochodzące z budżetu Unii Europejskiej na realizację projektu pn."Rozwijanie kompetencji kadry dydaktycznej w zakresie doradztwa edukacyjno - zawodowego (makroregion IV)" w ramach Programu Operacyjnego Wiedza Edukacja Rozwój na lata 2014 - 2020</t>
  </si>
  <si>
    <t>2057</t>
  </si>
  <si>
    <t>Środki pochodzące z budżetu Unii Europejskiej na realizację projektu pn."Podkarpacie Uczy Cyfrowo w ramach projektu Lekcja:Enter" w ramach Programu Operacyjnego Polska Cyfrowa na lata 2014-2020</t>
  </si>
  <si>
    <t>Środki pochodzące z budżetu Unii Europejskiej na realizację projektu pn. "Lekcja:Enter - Podkarpacie Uczy Cyfrowo (II)" w ramach Programu Operacyjnego Polska Cyfrowa na lata 2014-2020</t>
  </si>
  <si>
    <t>Środki pochodzące z budżetu Unii Europejskiej na realizację projektu pn. „Zdalny Nauczyciel = Zdalna Szkoła” w ramach Projektu Grantowego pn. „Wsparcie placówek doskonalenia nauczycieli i bibliotek pedagogicznych w realizacji zadań związanych z przygotowaniem i wsparciem nauczycieli w prowadzeniu kształcenia na odległość” w ramach Programu Operacyjnego Wiedza Edukacja Rozwój na lata 2014-2020</t>
  </si>
  <si>
    <t>Dotacja celowa z budżetu państwa na realizację projektu pn. "Rozwijanie kompetencji kadry dydaktycznej w zakresie doradztwa edukacyjno - zawodowego (makroregion IV)" w ramach Programu Operacyjnego Wiedza Edukacja Rozwój na lata 2014 - 2020</t>
  </si>
  <si>
    <t>Dotacja celowa z budżetu państwa na realizację projektu pn. "Podkarpacie Uczy Cyfrowo w ramach projektu Lekcja:Enter" w ramach Programu Operacyjnego Polska Cyfrowa na lata 2014-2020</t>
  </si>
  <si>
    <t>Dotacja celowa z budżetu państwa na realizację projektu pn. "Lekcja:Enter - Podkarpacie Uczy Cyfrowo (II)" w ramach Programu Operacyjnego Polska Cyfrowa na lata 2014-2020</t>
  </si>
  <si>
    <t>Dotacja celowa z budżetu państwa na realizację projektu pn. „Zdalny Nauczyciel = Zdalna Szkoła” w ramach Projektu Grantowego pn. „Wsparcie placówek doskonalenia nauczycieli i bibliotek pedagogicznych w realizacji zadań związanych z przygotowaniem i wsparciem nauczycieli w prowadzeniu kształcenia na odległość” w ramach Programu Operacyjnego Wiedza Edukacja Rozwój na lata 2014-2020</t>
  </si>
  <si>
    <t>Dotacje celowe otrzymane z budżetu państwa na zadania bieżące realizowane przez samorząd województwa na podstawie porozumień z organami administracji rządowej</t>
  </si>
  <si>
    <t>2220</t>
  </si>
  <si>
    <t>Biblioteki pedagogiczne</t>
  </si>
  <si>
    <t xml:space="preserve">Dochody realizowane przez jednostki oświatowe </t>
  </si>
  <si>
    <t>Zapewnienie uczniom prawa do bezpłatnego dostępu do podręczników, materiałów edukacyjnych lub materiałów ćwiczeniowych</t>
  </si>
  <si>
    <t>Zwrotu nadpłaconych wydatków poniesionych w 2020 roku na organizację m.in. posiedzeń komisji opiniujących wnioski o przyznanie nagród i stypendiów, komisji egzaminacyjnej dla nauczycieli ubiegających się o awans na stopień nauczyciela mianowanego</t>
  </si>
  <si>
    <t xml:space="preserve">Środki pochodzące z budżetu Unii Europejskiej jako refundacja wydatków poniesionych ze środków własnych na realizację projektu pn. "Europa w szkole szpitalnej" w ramach Programu ERASMUS+ </t>
  </si>
  <si>
    <t>2051</t>
  </si>
  <si>
    <t>Zwrot przez organizację pożytku publicznego dotacji pobranej w nadmiernej wysokości na realizację zadania publicznego pn. "Trimarium. Wielkoformatowa gra symulacyjna jako narzędzie wsparcia współpracy w formacie Trójmorza"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</si>
  <si>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</si>
  <si>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>2919</t>
  </si>
  <si>
    <t xml:space="preserve">Zwrot części niewykorzystanych dotacji przez beneficjentów projektów realizowanych w ramach Regionalnego Programu Operacyjnego Województwa Podkarpackiego na lata 2014-2020 </t>
  </si>
  <si>
    <t>2959</t>
  </si>
  <si>
    <t>6699</t>
  </si>
  <si>
    <t>OCHRONA ZDROWIA</t>
  </si>
  <si>
    <t>Szpitale ogólne</t>
  </si>
  <si>
    <t>Zwrot części niewykorzystanej dotacji przez samodzielne publiczne zakłady opieki zdrowotnej</t>
  </si>
  <si>
    <t>Dotacje celowe otrzymane z budżetu państwa na inwestycje i zakupy inwestycyjne z zakresu administracji rządowej oraz inne zadania zlecone ustawami realizowane przez samorząd województwa</t>
  </si>
  <si>
    <t>Dotacja celowa otrzymana z budżetu państwa na realizację inwestycji i zakupów inwestycyjnych własnych samorządu województwa</t>
  </si>
  <si>
    <t>Zwrot części niewykorzystanej dotacji przez beneficjenta projektu realizowanego w ramach Regionalnego Programu Operacyjnego Województwa Podkarpackiego na lata 2014 - 2020</t>
  </si>
  <si>
    <t>Leczenie sanatoryjno-klimatyczne</t>
  </si>
  <si>
    <t>Dotacje celowe otrzymane z budżetu państwa na inwestycje 
i zakupy inwestycyjne z zakresu administracji rządowej oraz inne zadania zlecone ustawami realizowane przez samorząd województwa</t>
  </si>
  <si>
    <t>Lecznictwo psychiatryczne</t>
  </si>
  <si>
    <t>Zwrot części dotacji na zadania realizowane przez samodzielne publiczne zakłady opieki zdrowotnej</t>
  </si>
  <si>
    <t>Dotacja celowa otrzymana z tytułu pomocy finansowej udzielanej między jednostkami samorządu terytorialnego na dofinansowanie własnych zadań inwestycyjnych i zakupów inwestycyjnych</t>
  </si>
  <si>
    <t>Dotacja celowa otrzymana z budżetu państwa na inwestycje i zakupy inwestycyjne z zakresu administracji rządowej oraz inne zadania zlecone ustawami realizowane przez samorząd województwa</t>
  </si>
  <si>
    <t>Medycyna pracy</t>
  </si>
  <si>
    <t>Zwalczanie narkomanii</t>
  </si>
  <si>
    <t xml:space="preserve">Odsetki od dotacji wykorzystanych niezgodnie z przeznaczeniem, pobranych nienależnie lub w nadmiernej wysokości na realizację zadań z zakresu przeciwdziałania narkomanii </t>
  </si>
  <si>
    <t>Zwrot dotacji wykorzystanych niezgodnie z przeznaczeniem, pobranych nienależnie lub w nadmiernej wysokości na realizację zadań z zakresu przeciwdziałania narkomanii</t>
  </si>
  <si>
    <t>Przeciwdziałnie alkoholizmowi</t>
  </si>
  <si>
    <t>Odsetki od dotacji wykorzystanych niezgodnie z przeznaczeniem, pobranych nienależnie lub w nadmiernej wysokości na realizację zadań z zakresu przeciwdziałania alkoholizmowi</t>
  </si>
  <si>
    <t>Zwrot dotacji wykorzystanych niezgodnie z przeznaczeniem, pobranych nienależnie lub w nadmiernej wysokości na realizację zadań z zakresu przeciwdziałania alkoholizmowi</t>
  </si>
  <si>
    <t>Staże i specjalizacje medyczne</t>
  </si>
  <si>
    <t>Brak potwierdzenia przyznanej dotacji. Kwota ustalona na podstawie zebranych  informacji  od uczelni medycznych o przewidywanej liczbie absolwentów, którzy mogą w następnym roku kalendarzowym odbywać staż na obszarze województwa podkarpackiego, posiadających stałe miejsce zamieszkania w województwie podkarpackim.</t>
  </si>
  <si>
    <t>Środki otrzymane z państwowych funduszy celowych na realizację zadań bieżących jednostek sektora finansów publicznych</t>
  </si>
  <si>
    <t xml:space="preserve">Zwrotu części niewykorzystanej dotacji przez partnera projektu  realizowanego w ramach Regionalnego Programu Operacyjnego Województwa Podkarpackiego na lata 2014-2020 </t>
  </si>
  <si>
    <t>POMOC SPOŁECZNA</t>
  </si>
  <si>
    <t>Zadania w zakresie przeciwdziałania przemocy w rodzinie</t>
  </si>
  <si>
    <t>Dotacje celowe otrzymane z budżetu państwa na realizację bieżących zadań własnych samorządu województwa</t>
  </si>
  <si>
    <t xml:space="preserve">Zwrotu dotacji wykorzystanych niezgodnie z przeznaczeniem, pobranych nienależnie lub w nadmiernej wysokości na realizację zadań z zakresu przeciwdziałania przemocy w rodzinie </t>
  </si>
  <si>
    <t>Regionalne ośrodki polityki społecznej</t>
  </si>
  <si>
    <t>Dochody realizowane przez Regionalny Ośrodek Polityki Społecznej w Rzeszowie</t>
  </si>
  <si>
    <t>0580</t>
  </si>
  <si>
    <t xml:space="preserve">Odsetki od dotacji wykorzystanych niezgodnie z przeznaczeniem, pobranych nienależnie lub w nadmiernej wysokości na realizację zadań z zakresu pomocy społecznej </t>
  </si>
  <si>
    <t xml:space="preserve">Zwrot dotacji wykorzystanych niezgodnie z przeznaczeniem, pobranych nienależnie lub w nadmiernej wysokości na realizację zadań z zakresu pomocy społecznej </t>
  </si>
  <si>
    <t>Środki pochodzące z budżetu Unii Europejskiej na realizację projektu pn. "Liderzy kooperacji" w ramach Programu Operacyjnego Wiedza Edukacja Rozwój na lata 2014-2020</t>
  </si>
  <si>
    <t>Środki pochodzące z budżetu Unii Europejskiej na realizację projektu pn. "Kompetencje plus" w ramach Programu Operacyjnego Wiedza Edukacja  Rozwój na lata 2014-2020</t>
  </si>
  <si>
    <t>Dotacja celowa z budżetu państwa na realizację projektu pn. "Liderzy kooperacji" w ramach Programu Operacyjnego Wiedza Edukacja Rozwój na lata 2014-2020</t>
  </si>
  <si>
    <t>Dotacja celowa z budżetu państwa na realizację projektu pn. "Kompetencje plus" w ramach Programu Operacyjnego Wiedza Edukacja Rozwój na lata 2014-2020</t>
  </si>
  <si>
    <t>Środki pochodzące z budżetu Unii Europejskiej jako refundacja wydatków poniesionych ze środków własnych na realizację projektu pn. "Kompetencje plus" w ramach Programu Operacyjnego Wiedza Edukacja Rozwój na lata 2014-2020</t>
  </si>
  <si>
    <t>Środki pochodzące z budżetu Unii Europejskiej na realizację projektu pn. "Kompetencje plus" w ramach Programu Operacyjnego Wiedza Edukacja Rozwój na lata 2014-2020</t>
  </si>
  <si>
    <t>Dotacja celowa z budżetu państwa na realizację projektu pn. "Liderzy kooperacji" w ramach Programu Operacyjnego Wiedza Edukacja Rozwój 2014-2020</t>
  </si>
  <si>
    <t>Dotacja celowa z budżetu państwa jako refundacja wydatków poniesionych ze środków własnych na realizację projektu pn. "Kompetencje plus" w ramach Programu Operacyjnego Wiedza Edukacja Rozwój 2014-2020</t>
  </si>
  <si>
    <t>Dotacja celowa z budżetu państwa na realizację projektu pn. "Kompetencje plus" w ramach Programu Operacyjnego Wiedza Edukacja Rozwój 2014-2020</t>
  </si>
  <si>
    <t>Zwrot części niewykorzystanych dotacji przez partnerów projektu pn. "Lepsze jutro" w ramach Programu Operacyjnego Wiedza Edukacja Rozwój na lata 2014-2020</t>
  </si>
  <si>
    <t>2957</t>
  </si>
  <si>
    <t>Środki pochodzące z budżetu Unii Europejskiej na realizację projektu pn. "Lepsze jutro" w ramach Programu Operacyjnego Wiedza Edukacja Rozwój na lata 2014-2020</t>
  </si>
  <si>
    <t>Dotacja celowa z budżetu państwa na realizację projektu pn. "Lepsze jutro" w ramach Programu Operacyjnego Wiedza Edukacja Rozwój na lata 2014-2020</t>
  </si>
  <si>
    <t>Zwrot części niewykorzystanych dotacji przez beneficjentów projektów realizowanych w ramach Regionalnego Programu Operacyjnego Województwa Podkarpackiego na lata 2014-2020</t>
  </si>
  <si>
    <t>Rehabilitacja zawodowa i społeczna osób niepełnosprawnych</t>
  </si>
  <si>
    <t>Odsetki od dotacji wykorzystanych niezgodnie z przeznaczeniem, pobranych nienależnie lub w nadmiernej wysokości na realizację zadań  wynikających z Wojewódzkiego Programu Na Rzecz Wyrównywania Szans Osób Niepełnosprawnych i Przeciwdziałania Ich Wykluczeniu Społecznemu</t>
  </si>
  <si>
    <t>Zwrot części dotacji wykorzystanych niezgodnie z przeznaczeniem, pobranych nienależnie lub w nadmiernej wysokości przez organizacje pozarządowe realizujące zadania wynikające z Wojewódzkiego Programu Na Rzecz Wyrównywania Szans Osób Niepełnosprawnych i Przeciwdziałania Ich Wykluczeniu Społecznemu</t>
  </si>
  <si>
    <t>Państwowy Fundusz Rehabilitacji Osób Niepełnosprawnych</t>
  </si>
  <si>
    <t xml:space="preserve">Wpływ 2,5% odpisu ze środków Państwowego Funduszu Rehabilitacji Osób Niepełnosprawnych </t>
  </si>
  <si>
    <t>Wojewódzkie Urzędy Pracy</t>
  </si>
  <si>
    <t>0948</t>
  </si>
  <si>
    <t>Dotacja celowa z budżetu państwa na współfinansowanie projektów w ramach Programu Operacyjnego Wiedza Edukacja Rozwój na lata 2014 - 2020</t>
  </si>
  <si>
    <t>2009</t>
  </si>
  <si>
    <t>Dotacja celowa z budżetu państwa na finansowanie wydatków objętych Pomocą Techniczną Programu Operacyjnego Wiedza Edukacja Rozwój na lata 2014 - 2020</t>
  </si>
  <si>
    <t>Środki z Funduszu Gwarantowanych Świadczeń Pracowniczych</t>
  </si>
  <si>
    <t>Wpływy ze zwrotów dotacji oraz płatności wykorzystanych niezgodnie z przeznaczeniem lub wykorzystanych z naruszeniem procedur, o których mowa w art. 184 ustawy, pobranych nienależnie lub w nadmiernej wysokości</t>
  </si>
  <si>
    <t>2918</t>
  </si>
  <si>
    <t>Wpływy z pozostałych odsetek</t>
  </si>
  <si>
    <t>Wpływy z różnych dochodów</t>
  </si>
  <si>
    <t>Środki pochodzące z budżetu Unii Europejskiej na realizację projektu pn. „Standardy w zakresie mieszkalnictwa wspomaganego dla osób chorujących psychicznie po wielokrotnych pobytach w szpitalach psychiatrycznych" w ramach Programu Operacyjnego Wiedza Edukacja Rozwój na lata 2014-2020</t>
  </si>
  <si>
    <t xml:space="preserve">Dotacja celowa z budżetu państwa na współfinansowanie wydatków na realizację projektu pn. „Standardy w zakresie mieszkalnictwa wspomaganego dla osób chorujących psychicznie po wielokrotnych pobytach w szpitalach psychiatrycznych" w ramach Programu Operacyjnego Wiedza Edukacja Rozwój 2014-2020 </t>
  </si>
  <si>
    <t>Zwrot części dotacji wykorzystanych niezgodnie z przeznaczeniem, pobranych nienależnie lub w nadmiernej wysokości przez beneficjentów projektów realizowanych w ramach Programu Operacyjnego Kapitał Ludzki</t>
  </si>
  <si>
    <t>Zwrot części dotacji wykorzystanych niezgodnie z przeznaczeniem, pobranych nienależnie lub w nadmiernej wysokości przez beneficjentów projektów realizowanych w ramach Programu Operacyjnego Wiedza Edukacja Rozwój na lata 2014-2020</t>
  </si>
  <si>
    <r>
      <t xml:space="preserve">Zwrot części dotacji wykorzystanych niezgodnie z przeznaczeniem, pobranych nienależnie lub w nadmiernej wysokości przez beneficjentów projektów realizowanych w ramach Programu Operacyjnego Kapitał Ludzki          </t>
    </r>
    <r>
      <rPr>
        <u/>
        <sz val="10"/>
        <rFont val="Arial"/>
        <family val="2"/>
        <charset val="238"/>
      </rPr>
      <t xml:space="preserve">  </t>
    </r>
  </si>
  <si>
    <t xml:space="preserve">Zwrot części niewykorzystanych dotacji przez beneficjentów projektów realizowanych w ramach Programu Operacyjnego Wiedza Edukacja Rozwój na lata 2014-2020        </t>
  </si>
  <si>
    <t>EDUKACYJNA OPIEKA WYCHOWAWCZA</t>
  </si>
  <si>
    <t>Internaty i bursy szkolne</t>
  </si>
  <si>
    <t>Wspieranie rodziny</t>
  </si>
  <si>
    <t xml:space="preserve">Dotacja celowa z budżetu państwa na współfinansowanie wydatków na realizację projektu pn. „Wsparcie dzieci umieszczonych w pieczy zastępczej w okresie epidemii CIVID-19" w ramach Programu Operacyjnego Wiedza, Edukacja, Rozwój 2014-2020 </t>
  </si>
  <si>
    <t>Zwrot dotacji wykorzystanych niezgodnie z przeznaczeniem, pobranych nienależnie lub w nadmiernej wysokości na realizację zadań z zakresu wspierania rodziny</t>
  </si>
  <si>
    <t>Działalność ośrodków adopcyjnych</t>
  </si>
  <si>
    <t>Działalność placówek opiekuńczo - wychowawczych</t>
  </si>
  <si>
    <t>Dotacje celowe otrzymane z powiatu na zadania bieżące realizowane na podstawie porozumień (umów) między jednostkami samorządu terytorialnego</t>
  </si>
  <si>
    <t>2320</t>
  </si>
  <si>
    <t>Zwrot części otrzymanej w 2019 r. dotacji celowej na realizację zadań w zakresie prowadzenia regionalnych placówek opiekuńczo - terapeutycznych na terenie województwa podkarpackiego</t>
  </si>
  <si>
    <t>GOSPODARKA KOMUNALNA I OCHRONA ŚRODOWISKA</t>
  </si>
  <si>
    <t>Wpływy i wydatki związane z gromadzeniem środków 
z opłat i kar za korzystanie ze środowiska</t>
  </si>
  <si>
    <t>3% wpływu z tytułu opłat za korzystanie ze środowiska</t>
  </si>
  <si>
    <t>3% wpływu z tytułu opłat za usunięcie drzewa i krzewów</t>
  </si>
  <si>
    <t>Wpływy i wydatki związane z gromadzeniem środków 
z opłat produktowych</t>
  </si>
  <si>
    <t>1% wpływu z tytułu opłaty recyklingowej za opakowania</t>
  </si>
  <si>
    <t>0240</t>
  </si>
  <si>
    <t xml:space="preserve">2% i 10% wpływu z tytułu opłaty produktowej oraz dodatkowej opłaty produktowej </t>
  </si>
  <si>
    <t>0400</t>
  </si>
  <si>
    <t xml:space="preserve">5 % wpływu z tytułu opłat za nieosiągnięcie wymaganego poziomu odzysku i recyklingu odpadów pochodzących z pojazdów wycofanych z eksploatacji </t>
  </si>
  <si>
    <t>0530</t>
  </si>
  <si>
    <t>10% wpływu z tytułu opłat na publiczne kampanie edukacyjne</t>
  </si>
  <si>
    <t xml:space="preserve">10% wpływu z tytułu opłaty produktowej oraz dodatkowej opłaty produktowej </t>
  </si>
  <si>
    <t xml:space="preserve">Wpływy i wydatki związane z wprowadzeniem do obrotu baterii i akumulatorów </t>
  </si>
  <si>
    <t>5% wpływu z tytułu opłat za wprowadzanie do obrotu baterii i akumulatorów</t>
  </si>
  <si>
    <t>Pozostałe zadania związane z gospodarką odpadami</t>
  </si>
  <si>
    <t>35,65% wpływu z opłaty rejestrowej i opłaty rocznej od podmiotów wprowadzających produkty, produkty w opakowaniach i gospodarujących odpadami</t>
  </si>
  <si>
    <t>Wpływ z tytułu opłat za udostępnianie informacji o środowisku</t>
  </si>
  <si>
    <t>Oosetki od zwrotu części dotacji wykorzystanej niezgodnie z przenaczeniem na realizację zadania w ramach Podkarpackiego Programu Odnowy Wsi na lata 2017-2020</t>
  </si>
  <si>
    <t>Zwrot części dotacji wykorzystanej niezgodnie z przenaczeniem na realizację zadania w ramach Podkarpackiego Programu Odnowy Wsi na lata 2017-2020</t>
  </si>
  <si>
    <t>Pozostałe zadania w zakresie kultury</t>
  </si>
  <si>
    <t>Odsetki od dotacji wykorzystanych niezgodnie z przeznaczeniem, pobranych nienależnie lub w nadmiernej wysokości na realizację zadań z zakresu kultury</t>
  </si>
  <si>
    <t>Zwrot dotacji wykorzystanych niezgodnie z przeznaczeniem, pobranych nienależnie lub w nadmiernej wysokości na realizację zadań z zakresu kultury</t>
  </si>
  <si>
    <t>Zwrot części niewykorzystanych dotacji na realizację zadań z zakresu kultury</t>
  </si>
  <si>
    <t>Teatry</t>
  </si>
  <si>
    <t>Odsetki od zwrotu części niewykorzystanej dotacji</t>
  </si>
  <si>
    <t>Wpływy z tytułu pomocy finansowej udzielanej między jednostkami samorządu terytorialnego na dofinansowanie własnych zadań bieżących</t>
  </si>
  <si>
    <t>Zwrot części niewykorzystanych dotacji przez instytucje kultury</t>
  </si>
  <si>
    <t>Filharmonie, orkiestry, chóry i kapele</t>
  </si>
  <si>
    <t>Zwrot dotacji wykorzystanych niezgodnie z przeznaczeniem, pobranych nienależnie lub w nadmiernej wysokości na realizację zadań przez instytucje kultury</t>
  </si>
  <si>
    <t>Domy i ośrodki kultury, świetlice i kluby</t>
  </si>
  <si>
    <t>Zwrot dotacji wykorzystanych w nadmiernej wysokości na realizację zadań z zakresu kultury</t>
  </si>
  <si>
    <t>Pozostałe instytucje kultury</t>
  </si>
  <si>
    <t>6690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</si>
  <si>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</si>
  <si>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</si>
  <si>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</si>
  <si>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 xml:space="preserve">Dotacje celowe otrzymane z gminy na inwestycje i zakupy inwestycyjne zadania bieżące realizowane na podstawie porozumień (umów) między jednostkami samorządu terytorialnego </t>
  </si>
  <si>
    <t>Muzea</t>
  </si>
  <si>
    <t>6660</t>
  </si>
  <si>
    <t>Środki pochodzące z budżetu Unii Europejskiej jako refundacja wydatków poniesionych ze środków własnych na realizację projektu pn.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</si>
  <si>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</si>
  <si>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</si>
  <si>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KULTURA FIZYCZNA</t>
  </si>
  <si>
    <t>Zadania w zakresie kultury fizycznej</t>
  </si>
  <si>
    <t>Odsetki od dotacji wykorzystanych niezgodnie z przeznaczeniem, pobranych nienależnie lub w nadmiernej wysokości na realizację zadań z zakresu kultury fizycznej i sportu</t>
  </si>
  <si>
    <t>Zwrot dotacji wykorzystanych niezgodnie z przeznaczeniem, pobranych nienależnie lub w nadmiernej wysokości na realizację zadań z zakresu kultury fizycznej i sportu</t>
  </si>
  <si>
    <t>Zwrot części niewykorzystanych dotacji na realizację zadań z zakresu kultury fizycznej i sportu</t>
  </si>
  <si>
    <t>0 0</t>
  </si>
  <si>
    <t>dochody bieżące</t>
  </si>
  <si>
    <t xml:space="preserve">finansowane z dotacji </t>
  </si>
  <si>
    <t>finansowane z dochodów własnych</t>
  </si>
  <si>
    <t>dochody majątkowe</t>
  </si>
  <si>
    <t>sprawdzenie:</t>
  </si>
  <si>
    <t>Plan wydatków na 2022 r. według działów, rozdziałów, grup wydatków, paragrafów klasyfikacji budżetowej</t>
  </si>
  <si>
    <t>Wyszczególnienie</t>
  </si>
  <si>
    <t>Plan wydatków na 2021 r. wg stanu na 31.08.2021 r. przewidywane wykonanie wydatków w 2021</t>
  </si>
  <si>
    <t>OR</t>
  </si>
  <si>
    <t>OBSŁUGA DŁUGU</t>
  </si>
  <si>
    <t>OZ</t>
  </si>
  <si>
    <t>PZDW</t>
  </si>
  <si>
    <t>WP</t>
  </si>
  <si>
    <t>NW</t>
  </si>
  <si>
    <t>SI</t>
  </si>
  <si>
    <t>DK (AK)</t>
  </si>
  <si>
    <t>OS</t>
  </si>
  <si>
    <t>RG</t>
  </si>
  <si>
    <t>OW</t>
  </si>
  <si>
    <t>BI</t>
  </si>
  <si>
    <t>B P-B-U (OT)</t>
  </si>
  <si>
    <t>RR</t>
  </si>
  <si>
    <t>RP</t>
  </si>
  <si>
    <t>GR</t>
  </si>
  <si>
    <t>KS</t>
  </si>
  <si>
    <t>KZ</t>
  </si>
  <si>
    <t>DT</t>
  </si>
  <si>
    <t>PG</t>
  </si>
  <si>
    <t>EN</t>
  </si>
  <si>
    <t>DO</t>
  </si>
  <si>
    <t>rezerwy</t>
  </si>
  <si>
    <t>Rolnictwo i łowiectwo</t>
  </si>
  <si>
    <t>plan na 2022</t>
  </si>
  <si>
    <t>Biura geodezji i terenów rolnych</t>
  </si>
  <si>
    <t>wydatki bieżące:</t>
  </si>
  <si>
    <t>wydatki jednostek budżetowych w tym na:</t>
  </si>
  <si>
    <t xml:space="preserve"> - wynagrodzenia i składki od nich naliczane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</si>
  <si>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</si>
  <si>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</si>
  <si>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</si>
  <si>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</si>
  <si>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</si>
  <si>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</si>
  <si>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</si>
  <si>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Solidarnościowy Fundusz Wsparcia Osób Niepełnosprawnych</t>
  </si>
  <si>
    <t>4170</t>
  </si>
  <si>
    <t>Wynagrodzenia bezosobowe</t>
  </si>
  <si>
    <t>4710</t>
  </si>
  <si>
    <t>Wpłaty na PPK finansowane przez podmiot zatrudniający</t>
  </si>
  <si>
    <t xml:space="preserve"> - wydatki związane z realizacją zadań statutowych jednostek budżetowych</t>
  </si>
  <si>
    <t>4140</t>
  </si>
  <si>
    <t>Wpłaty na Państwowy Fundusz Rehabilitacji Osób Niepełnosprawnych</t>
  </si>
  <si>
    <t>4210</t>
  </si>
  <si>
    <t>Zakup materiałów i wyposażenia</t>
  </si>
  <si>
    <t>4220</t>
  </si>
  <si>
    <t>Zakup środków żywności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</si>
  <si>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</si>
  <si>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</si>
  <si>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</si>
  <si>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</si>
  <si>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</si>
  <si>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</si>
  <si>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</si>
  <si>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</si>
  <si>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</si>
  <si>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</si>
  <si>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</si>
  <si>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</si>
  <si>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</si>
  <si>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</si>
  <si>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</si>
  <si>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</si>
  <si>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</si>
  <si>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</si>
  <si>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</si>
  <si>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</si>
  <si>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</si>
  <si>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</si>
  <si>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4510</t>
  </si>
  <si>
    <t>Opłaty na rzecz budżetu państwa</t>
  </si>
  <si>
    <t>4520</t>
  </si>
  <si>
    <t>Opłaty na rzecz budżetów jednostek samorządu terytorialnego</t>
  </si>
  <si>
    <t>4530</t>
  </si>
  <si>
    <t>Podatek od towarów i usług (VAT)</t>
  </si>
  <si>
    <t>4700</t>
  </si>
  <si>
    <t xml:space="preserve">Szkolenia pracowników niebędących członkami korpusu służby cywilnej </t>
  </si>
  <si>
    <t>świadczenia na rzecz osób fizycznych:</t>
  </si>
  <si>
    <t>3020</t>
  </si>
  <si>
    <t>Wydatki osobowe niezaliczone do wynagrodzeń</t>
  </si>
  <si>
    <t>wydatki majątkowe:</t>
  </si>
  <si>
    <t>inwestycje i zakupy inwestycyjne</t>
  </si>
  <si>
    <t>6060</t>
  </si>
  <si>
    <t>Wydatki inwestycyjne jednostek budżetowych</t>
  </si>
  <si>
    <t>01006</t>
  </si>
  <si>
    <t>Zarządy melioracji i urządzeń wodnych</t>
  </si>
  <si>
    <t>Składki na Fundusz Pracy</t>
  </si>
  <si>
    <t>01008</t>
  </si>
  <si>
    <t>Melioracje wodne</t>
  </si>
  <si>
    <t>4500</t>
  </si>
  <si>
    <t>Pozostałe podatki na rzecz budżetów jednostek samorządu terytorialnego</t>
  </si>
  <si>
    <t>6050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</si>
  <si>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</si>
  <si>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- wydatki na programy finansowane z udziałem środków UE i źródeł zagranicznych</t>
  </si>
  <si>
    <t xml:space="preserve">Program Rozwoju Obszarów Wiejskich </t>
  </si>
  <si>
    <t>wydatki na programy finansowane z udziałem środków UE i źródeł zagranicznych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</si>
  <si>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</si>
  <si>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</si>
  <si>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</si>
  <si>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</si>
  <si>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</si>
  <si>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</si>
  <si>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</si>
  <si>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</si>
  <si>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</si>
  <si>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</si>
  <si>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</si>
  <si>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4179</t>
  </si>
  <si>
    <t>4198</t>
  </si>
  <si>
    <t>Nagrody konkursowe</t>
  </si>
  <si>
    <t>4199</t>
  </si>
  <si>
    <t>4218</t>
  </si>
  <si>
    <t>4219</t>
  </si>
  <si>
    <t>4278</t>
  </si>
  <si>
    <t>4279</t>
  </si>
  <si>
    <t>4308</t>
  </si>
  <si>
    <t>4309</t>
  </si>
  <si>
    <t>4398</t>
  </si>
  <si>
    <t>4399</t>
  </si>
  <si>
    <t>4418</t>
  </si>
  <si>
    <t>4419</t>
  </si>
  <si>
    <t>4438</t>
  </si>
  <si>
    <t>4439</t>
  </si>
  <si>
    <t>4708</t>
  </si>
  <si>
    <t>4709</t>
  </si>
  <si>
    <t>4718</t>
  </si>
  <si>
    <t>4719</t>
  </si>
  <si>
    <t>dotacje na zadania bieżące:</t>
  </si>
  <si>
    <t>2310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</si>
  <si>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</si>
  <si>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</si>
  <si>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Wydatki na zakupy inwestycyjne jednostek budżetowych</t>
  </si>
  <si>
    <t>6610</t>
  </si>
  <si>
    <t>Dotacje celowe przekazane gminie na inwestycje i zakupy inwestycyjne realizowane na podstawie porozumień (umów) między jednostkami samorządu terytorialnego</t>
  </si>
  <si>
    <t>6620</t>
  </si>
  <si>
    <t>Dotacje celowe przekazane dla powiatu na inwestycje i zakupy inwestycyjne realizowane na podstawie porozumień (umów) między jednostkami samorządu terytorialnego</t>
  </si>
  <si>
    <t>01078</t>
  </si>
  <si>
    <t>Usuwanie skutków klęsk żywiołowych</t>
  </si>
  <si>
    <t>Zwrot dotacji oraz płatności, w tym wykorzystanych niezgodnie z przeznaczeniem lub wykorzystanych z naruszeniem procedur, o których mowa w art.. 184 ustawy, pobranych nienależnie lub w nadmiernej wysokości, dotyczące wydatków majątkowych</t>
  </si>
  <si>
    <t>4190</t>
  </si>
  <si>
    <t>4560</t>
  </si>
  <si>
    <t xml:space="preserve">Odsetki od dotacji oraz płatności: wykorzystanych niezgodnie z przeznaczeniem lub wykorzystanych z naruszeniem procedur, o których mowa w art. 184 ustawy, pobranych nienależnie lub w nadmiernej wysokości </t>
  </si>
  <si>
    <t>4590</t>
  </si>
  <si>
    <t>Kary i odszkodowania wypłacane na rzecz osób fizycznych</t>
  </si>
  <si>
    <t>4610</t>
  </si>
  <si>
    <t>Koszty postępowania sądowego i prokuratorskiego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</si>
  <si>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</si>
  <si>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Rybołówstwo i rybactwo</t>
  </si>
  <si>
    <t>Program Operacyjny Zrównoważony rozwój sektora rybołówstwa i nadbrzeżnych obszarów rybackich 2007-2013 oraz Program Operacyjny Rybactwo i Morze 2014-2020</t>
  </si>
  <si>
    <t xml:space="preserve">Zwrot dotacji oraz płatności wykorzystanych niezgodnie z przeznaczeniem lub wykorzystanych z naruszeniem procedur, o których mowa w art.. 184 ustawy, pobranych nienależnie lub w nadmiernej wysokości </t>
  </si>
  <si>
    <t>Zakup usług obejmujących wykonywanie ekspertyz, analiz i opinii</t>
  </si>
  <si>
    <t>4569</t>
  </si>
  <si>
    <t>Odsetki od dotacji oraz płatności: wykorzystanych niezgodnie z przeznaczeniem lub wykorzystanych z naruszeniem procedur, o których mowa w art. 184 ustawy, pobranych nienależnie lub w nadmiernej wysokości</t>
  </si>
  <si>
    <t>Przetwórstwo przemysłowe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</si>
  <si>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</si>
  <si>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Zwroty dotacji oraz płatności wykorzystanych niezgodnie z przeznaczeniem lub wykorzystanych z naruszeniem procedur, o których mowa w art. 184 ustawy, pobranych nienależnie lub w nadmiernej wysokości</t>
  </si>
  <si>
    <t>Zwrot niewykorzystanych dotacji oraz płatności</t>
  </si>
  <si>
    <t>4017</t>
  </si>
  <si>
    <t>4047</t>
  </si>
  <si>
    <t>4117</t>
  </si>
  <si>
    <t>4127</t>
  </si>
  <si>
    <t>4217</t>
  </si>
  <si>
    <t>4307</t>
  </si>
  <si>
    <t>4397</t>
  </si>
  <si>
    <t>4417</t>
  </si>
  <si>
    <t>4707</t>
  </si>
  <si>
    <t>4717</t>
  </si>
  <si>
    <t>6067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</si>
  <si>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</si>
  <si>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</si>
  <si>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6209</t>
  </si>
  <si>
    <t>6259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</si>
  <si>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</si>
  <si>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6669</t>
  </si>
  <si>
    <t>Rozwój kadr nowoczesnej gospodarki i przedsiębiorczości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</si>
  <si>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</si>
  <si>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6697</t>
  </si>
  <si>
    <t>500</t>
  </si>
  <si>
    <t>Handel</t>
  </si>
  <si>
    <t>50005</t>
  </si>
  <si>
    <t>Promocja eksportu</t>
  </si>
  <si>
    <t>Transport i łączność</t>
  </si>
  <si>
    <t>4580</t>
  </si>
  <si>
    <t>Pozostałe odsetki</t>
  </si>
  <si>
    <t>Dotacja celowa na pomoc finansową udzielaną między jednostkami samorządu terytorialnego na dofinansowanie własnych zadań bieżących</t>
  </si>
  <si>
    <t>2830</t>
  </si>
  <si>
    <t>Dotacja celowa z budżetu na finansowanie lub dofinansowanie zadań zleconych do realizacji pozostałym jednostkom niezaliczanym do sektora finansów publicznych</t>
  </si>
  <si>
    <t>Wpływy ze zwrotów niewykorzystanych dotacji oraz płatności</t>
  </si>
  <si>
    <t>6069</t>
  </si>
  <si>
    <t>60002</t>
  </si>
  <si>
    <t>6057</t>
  </si>
  <si>
    <t>6059</t>
  </si>
  <si>
    <t xml:space="preserve">Dotacja przedmiotowa z budżetu dla jednostek niezaliczanych do sektora finansów publicznych </t>
  </si>
  <si>
    <t>2800</t>
  </si>
  <si>
    <t>Dotacja celowa z budżetu dla pozostałych jednostek zaliczanych do sektora finansów publicznych</t>
  </si>
  <si>
    <t>60004</t>
  </si>
  <si>
    <t>60013</t>
  </si>
  <si>
    <t>4420</t>
  </si>
  <si>
    <t>Podróże służbowe zagraniczne</t>
  </si>
  <si>
    <t>4600</t>
  </si>
  <si>
    <t>Kary, odszkodowania i grzywny wypłacane na rzecz osób prawnych i innych jednostek organizacyjnych</t>
  </si>
  <si>
    <t xml:space="preserve"> inwestycje i zakupy inwestycyjne</t>
  </si>
  <si>
    <t>6058</t>
  </si>
  <si>
    <t>6068</t>
  </si>
  <si>
    <t>6667</t>
  </si>
  <si>
    <t>Drogi publiczne powiatowe</t>
  </si>
  <si>
    <t>Wydatki majątkowe:</t>
  </si>
  <si>
    <t xml:space="preserve"> - inwestycyjne i zakupy inwestycyjne</t>
  </si>
  <si>
    <t>6300</t>
  </si>
  <si>
    <t>Dotacja celowa na pomoc finansową  udzielaną między jednostkami samorządu terytorialnego na dofinansowanie własnych zadań inwestycyjnych i zakupów inwestycyjnych</t>
  </si>
  <si>
    <t>60015</t>
  </si>
  <si>
    <t>Drogi publiczne w miastach na prawach powiatu</t>
  </si>
  <si>
    <t>60017</t>
  </si>
  <si>
    <t>Drogi wewnętrzne</t>
  </si>
  <si>
    <t>60078</t>
  </si>
  <si>
    <t>zakup i objęcie akcji i udziałów</t>
  </si>
  <si>
    <t>6010</t>
  </si>
  <si>
    <t>Wydatki na zakup i objęcie akcji, wniesienie wkładów do spółek prawa handlowego oraz na uzupełnienie funduszy statutowych banków państwowych i innych instytucji finansowych</t>
  </si>
  <si>
    <t>Turystyka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</si>
  <si>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</si>
  <si>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4380</t>
  </si>
  <si>
    <t>Zakup usług obejmujących tłumaczenia</t>
  </si>
  <si>
    <t>4388</t>
  </si>
  <si>
    <t>4389</t>
  </si>
  <si>
    <t>4428</t>
  </si>
  <si>
    <t>4429</t>
  </si>
  <si>
    <t>Dotacje celowe przekazane do samorządu województwa na zadania bieżące realizowane na podstawie porozumień (umów) między jednostkami samorządu terytorialnego</t>
  </si>
  <si>
    <t>2005</t>
  </si>
  <si>
    <t>4015</t>
  </si>
  <si>
    <t>4016</t>
  </si>
  <si>
    <t>4115</t>
  </si>
  <si>
    <t>4116</t>
  </si>
  <si>
    <t>4125</t>
  </si>
  <si>
    <t>4126</t>
  </si>
  <si>
    <t>4215</t>
  </si>
  <si>
    <t>4216</t>
  </si>
  <si>
    <t>4305</t>
  </si>
  <si>
    <t>4306</t>
  </si>
  <si>
    <t>4385</t>
  </si>
  <si>
    <t>4386</t>
  </si>
  <si>
    <t>4415</t>
  </si>
  <si>
    <t>4416</t>
  </si>
  <si>
    <t>4425</t>
  </si>
  <si>
    <t>4426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</si>
  <si>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</si>
  <si>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700</t>
  </si>
  <si>
    <t>Gospodarka mieszkaniowa</t>
  </si>
  <si>
    <t>70005</t>
  </si>
  <si>
    <t xml:space="preserve">Dotacja celowa na pomoc finansową udzielaną między jednostkami samorządu terytorialnego na dofinansowanie własnych zadań bieżących </t>
  </si>
  <si>
    <t>70095</t>
  </si>
  <si>
    <t>Działalność usługowa</t>
  </si>
  <si>
    <t>71003</t>
  </si>
  <si>
    <t>Zakup środków żywnościowych</t>
  </si>
  <si>
    <t>4240</t>
  </si>
  <si>
    <t>Zakup środków dydaktycznych i książek</t>
  </si>
  <si>
    <t>Opłata z tytułu zakupu usług telekomunikacyjnych</t>
  </si>
  <si>
    <t>71035</t>
  </si>
  <si>
    <t>Cmentarze</t>
  </si>
  <si>
    <t>720</t>
  </si>
  <si>
    <t>Informatyka</t>
  </si>
  <si>
    <t>72095</t>
  </si>
  <si>
    <t>4570</t>
  </si>
  <si>
    <t>Odsetki od nieterminowych wpłat z tytułu pozostałych podatków i opłat</t>
  </si>
  <si>
    <t>Szkolnictwo wyższe i nauka</t>
  </si>
  <si>
    <t>73006</t>
  </si>
  <si>
    <t>Działalność upowszechniająca naukę</t>
  </si>
  <si>
    <t>73016</t>
  </si>
  <si>
    <t>3250</t>
  </si>
  <si>
    <t>Stypendia różne</t>
  </si>
  <si>
    <t>2260</t>
  </si>
  <si>
    <t>Dotacja podmiotowa z budżetu dla jednostek systemu szkolnictwa wyższego i nauki niezaliczanych do sektora finansów publicznych</t>
  </si>
  <si>
    <t>2270</t>
  </si>
  <si>
    <t>Dotacja podmiotowa z budżetu dla jednostek systemu szkolnictwa wyższego i nauki zaliczanych do sektora finansów publicznych</t>
  </si>
  <si>
    <t>4177</t>
  </si>
  <si>
    <t>4387</t>
  </si>
  <si>
    <t>4427</t>
  </si>
  <si>
    <t>6220</t>
  </si>
  <si>
    <t>Dotacje celowe z budżetu na finansowanie lub dofinansowanie kosztów realizacji inwestycji i zakupów inwestycyjnych innych jednostek sektora finansów publicznych</t>
  </si>
  <si>
    <t>6230</t>
  </si>
  <si>
    <t>Dotacje celowe z budżetu na finansowanie lub dofinansowanie kosztów realizacji inwestycji i zakupów inwestycyjnych jednostek niezaliczanych do sektora finansów publicznych</t>
  </si>
  <si>
    <t>Zwroty niewykorzystanych dotacji oraz płatności, dotyczące wydatków majątkowych</t>
  </si>
  <si>
    <t>Administracja publiczna</t>
  </si>
  <si>
    <t>75017</t>
  </si>
  <si>
    <t>Samorządowe sejmiki województw</t>
  </si>
  <si>
    <t>3030</t>
  </si>
  <si>
    <t xml:space="preserve">Różne wydatki na rzecz osób fizycznych </t>
  </si>
  <si>
    <t>75018</t>
  </si>
  <si>
    <t>wydatki bieżące</t>
  </si>
  <si>
    <t>3028</t>
  </si>
  <si>
    <t>3029</t>
  </si>
  <si>
    <t>3038</t>
  </si>
  <si>
    <t>Różne wydatki na rzecz osób fizycznych</t>
  </si>
  <si>
    <t>3039</t>
  </si>
  <si>
    <t>4268</t>
  </si>
  <si>
    <t>4269</t>
  </si>
  <si>
    <t>4288</t>
  </si>
  <si>
    <t>4289</t>
  </si>
  <si>
    <t>4368</t>
  </si>
  <si>
    <t>Opłaty z tytułu zakupu usług telekomunikacyjnych świadczonych w ruchomej publicznej sieci telefonicznej</t>
  </si>
  <si>
    <t>4408</t>
  </si>
  <si>
    <t>4409</t>
  </si>
  <si>
    <t>4528</t>
  </si>
  <si>
    <t>4529</t>
  </si>
  <si>
    <t>4618</t>
  </si>
  <si>
    <t>4619</t>
  </si>
  <si>
    <t>75023</t>
  </si>
  <si>
    <t>Urzędy gmin (miast i miast na prawach powiatu)</t>
  </si>
  <si>
    <t>Szkolenia pracowników niebędących członkami korpusu służby cywilnej</t>
  </si>
  <si>
    <t>75079</t>
  </si>
  <si>
    <t>Pomoc zagraniczna</t>
  </si>
  <si>
    <t>4470</t>
  </si>
  <si>
    <t>Cła</t>
  </si>
  <si>
    <t>świadczenia na rzecz osób fizycznych</t>
  </si>
  <si>
    <t>75095</t>
  </si>
  <si>
    <t>4540</t>
  </si>
  <si>
    <t>Składki dla organizacji międzynarodowych</t>
  </si>
  <si>
    <t>Dotacja celowa z budżetu na finansowanie lub dofinansowanie zadań zleconych do realizacji pozostałym jednostkom nie zaliczanym do sektora finansów publicznych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</si>
  <si>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</si>
  <si>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>2958</t>
  </si>
  <si>
    <t>4228</t>
  </si>
  <si>
    <t>4229</t>
  </si>
  <si>
    <t>4267</t>
  </si>
  <si>
    <t>4367</t>
  </si>
  <si>
    <t>4369</t>
  </si>
  <si>
    <t>4437</t>
  </si>
  <si>
    <t>6698</t>
  </si>
  <si>
    <t>Obrona narodowa</t>
  </si>
  <si>
    <t>Bezpieczeństwo publiczne i ochrona przeciwpożarowa</t>
  </si>
  <si>
    <t>Komendy wojewódzkie Policji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</si>
  <si>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</si>
  <si>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</si>
  <si>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</si>
  <si>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</si>
  <si>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Straż Graniczna</t>
  </si>
  <si>
    <t>3000</t>
  </si>
  <si>
    <t>Komendy wojewódzkie Państwowej Straży Pożarnej</t>
  </si>
  <si>
    <t>75412</t>
  </si>
  <si>
    <t>Ochotnicze straże pożarne</t>
  </si>
  <si>
    <t>75415</t>
  </si>
  <si>
    <t>Zadania ratownictwa górskiego i wodnego</t>
  </si>
  <si>
    <t>6190</t>
  </si>
  <si>
    <t>Dotacja celowa z budżetu jednostki samorządu terytorialnego, udzielona w trybie art. 221 ustawy, na dofinansowanie inwestycji w ramach zadań zleconych do realizacji organizacjom prowadzącym działalność pożytku publicznego</t>
  </si>
  <si>
    <t>75421</t>
  </si>
  <si>
    <t>Dotacja celowa otrzymana z budżetu przez pozostałe jednostki zaliczane do sektora finansów publicznych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</si>
  <si>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</si>
  <si>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</si>
  <si>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</si>
  <si>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</si>
  <si>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</si>
  <si>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obsługa długu JST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</si>
  <si>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</si>
  <si>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</si>
  <si>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</si>
  <si>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</si>
  <si>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wypłaty z tytułu poręczeń i gwarancji:</t>
  </si>
  <si>
    <t>8030</t>
  </si>
  <si>
    <t xml:space="preserve">Wypłaty z tytułu krajowych poręczeń i gwarancji 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</si>
  <si>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</si>
  <si>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</si>
  <si>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</si>
  <si>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</si>
  <si>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</si>
  <si>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</si>
  <si>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</si>
  <si>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</si>
  <si>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801</t>
  </si>
  <si>
    <t>Oświata i wychowanie</t>
  </si>
  <si>
    <t>80101</t>
  </si>
  <si>
    <t xml:space="preserve">Szkoły podstawowe </t>
  </si>
  <si>
    <t>80102</t>
  </si>
  <si>
    <t xml:space="preserve">Wynagrodzenia bezosobowe </t>
  </si>
  <si>
    <t>4790</t>
  </si>
  <si>
    <t>Wynagrodzenia osobowe nauczycieli</t>
  </si>
  <si>
    <t>4800</t>
  </si>
  <si>
    <t>Dodatkowe wynagrodzenie roczne nauczycieli</t>
  </si>
  <si>
    <t>80104</t>
  </si>
  <si>
    <t>Przedszkola</t>
  </si>
  <si>
    <t>80111</t>
  </si>
  <si>
    <t>Gimnazja specjalne</t>
  </si>
  <si>
    <t>80116</t>
  </si>
  <si>
    <t>80121</t>
  </si>
  <si>
    <t>Licea ogólnokształcące specjalne</t>
  </si>
  <si>
    <t>80130</t>
  </si>
  <si>
    <t>4340</t>
  </si>
  <si>
    <t>Zakup usług remontowo-konserwatorskich dotyczących obiektów zabytkowych będących w użytkowaniu jednostek budżetowych</t>
  </si>
  <si>
    <t xml:space="preserve">Opłaty na rzecz budżetów jednostek budżetowych </t>
  </si>
  <si>
    <t>3240</t>
  </si>
  <si>
    <t>Stypendia dla uczniów</t>
  </si>
  <si>
    <t>3247</t>
  </si>
  <si>
    <t>3249</t>
  </si>
  <si>
    <t>4247</t>
  </si>
  <si>
    <t>4249</t>
  </si>
  <si>
    <t>80146</t>
  </si>
  <si>
    <t>3027</t>
  </si>
  <si>
    <t>4176</t>
  </si>
  <si>
    <t>4226</t>
  </si>
  <si>
    <t>4227</t>
  </si>
  <si>
    <t>4347</t>
  </si>
  <si>
    <t>Zakup usług remontowo - konserwatorskich dotyczących obiektów zabytkowych będących w użytkowaniu jednostek budżetowych</t>
  </si>
  <si>
    <t>4349</t>
  </si>
  <si>
    <t>4366</t>
  </si>
  <si>
    <t xml:space="preserve">Opłaty z tytułu zakupu usług telekomunikacyjnych </t>
  </si>
  <si>
    <t>80147</t>
  </si>
  <si>
    <t>80151</t>
  </si>
  <si>
    <t>Kwalifikacyjne kursy zawodowe</t>
  </si>
  <si>
    <t>80195</t>
  </si>
  <si>
    <t>3040</t>
  </si>
  <si>
    <t>Nagrody o charakterze szczególnym niezaliczone do wynagrodzeń</t>
  </si>
  <si>
    <t>2001</t>
  </si>
  <si>
    <t>4701</t>
  </si>
  <si>
    <t>803</t>
  </si>
  <si>
    <t>Szkolnictwo wyższe</t>
  </si>
  <si>
    <t>80309</t>
  </si>
  <si>
    <t>4989</t>
  </si>
  <si>
    <t>Zwroty dotyczące rozliczeń z Komisją Europejską</t>
  </si>
  <si>
    <t>80395</t>
  </si>
  <si>
    <t>2500</t>
  </si>
  <si>
    <t>Dotacja podmiotowa z budżetu dla uczelni niepublicznej na zadania, o których mowa w art. 94 ust. 1 pkt 1 ustawy z dnia 27 lipca 2005 r. - Prawo o szkolnictwie wyższym</t>
  </si>
  <si>
    <t>2520</t>
  </si>
  <si>
    <t>Dotacja podmiotowa z budżetu dla uczelni publicznej na zadania, o których mowa w art. 94 ust. 1 pkt 1 ustawy z dnia 27 lipca 2005 r. - Prawo o szkolnictwie wyższym</t>
  </si>
  <si>
    <t>Ochrona zdrowia</t>
  </si>
  <si>
    <t>85111</t>
  </si>
  <si>
    <t>4160</t>
  </si>
  <si>
    <t>Pokrycie ujemnego wyniku finansowego jednostek zaliczanych do sektora finansów publicznych</t>
  </si>
  <si>
    <t>2560</t>
  </si>
  <si>
    <t>Dotacja podmiotowa z budżetu dla samodzielnego publicznego zakładu opieki zdrowotnej utworzonego przez jednostkę samorządu terytorialnego</t>
  </si>
  <si>
    <t>85119</t>
  </si>
  <si>
    <t>Leczenie sanatoryjno - klimatyczne</t>
  </si>
  <si>
    <t>85120</t>
  </si>
  <si>
    <t>85121</t>
  </si>
  <si>
    <t>Lecznictwo ambulatoryjne</t>
  </si>
  <si>
    <t>85148</t>
  </si>
  <si>
    <t>85149</t>
  </si>
  <si>
    <t>Programy polityki społecznej</t>
  </si>
  <si>
    <t>Przeciwdziałanie alkoholizmowi</t>
  </si>
  <si>
    <t>4130</t>
  </si>
  <si>
    <t>Składki na ubezpieczenie zdrowotne</t>
  </si>
  <si>
    <t>4320</t>
  </si>
  <si>
    <t xml:space="preserve">Staże i specjalizacje medyczne </t>
  </si>
  <si>
    <t xml:space="preserve"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 </t>
  </si>
  <si>
    <t>Pomoc społeczna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</si>
  <si>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</si>
  <si>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85214</t>
  </si>
  <si>
    <t>Zasiłki okresowe, celowe i pomoc w naturze oraz składki na ubezpieczenia emerytalne i rentowe</t>
  </si>
  <si>
    <t>Powiatowe centra pomocy rodzinie</t>
  </si>
  <si>
    <t>Ośrodki pomocy społecznej</t>
  </si>
  <si>
    <t>85232</t>
  </si>
  <si>
    <t>Centra integracji społecznej</t>
  </si>
  <si>
    <t>85278</t>
  </si>
  <si>
    <t>Dotacja celowa otrzymana z tytułu pomocy finansowej udzielanej między jednostkami samorządu terytorialnego na dofinansowanie własnych zadań bieżących</t>
  </si>
  <si>
    <t>85295</t>
  </si>
  <si>
    <t>3037</t>
  </si>
  <si>
    <t>4277</t>
  </si>
  <si>
    <t>4287</t>
  </si>
  <si>
    <t>4407</t>
  </si>
  <si>
    <t>4447</t>
  </si>
  <si>
    <t>4449</t>
  </si>
  <si>
    <t>4487</t>
  </si>
  <si>
    <t>4489</t>
  </si>
  <si>
    <t>4527</t>
  </si>
  <si>
    <t>Pozostałe zadania w zakresie polityki społecznej</t>
  </si>
  <si>
    <t>2570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</si>
  <si>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</si>
  <si>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</si>
  <si>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</si>
  <si>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Dotacje celowe z budżetu jednostki samorządu terytorialnego, udzielone w trybie art. 221 ustawy, na dofinansowanie inwestycji w ramach zadań zleconych do realizacji organizacjom prowadzącym działalność pożytku publicznego</t>
  </si>
  <si>
    <t>85395</t>
  </si>
  <si>
    <t>854</t>
  </si>
  <si>
    <t>Edukacyjna opieka wychowawcza</t>
  </si>
  <si>
    <t>85410</t>
  </si>
  <si>
    <t>Opłaty na rzecz budżetów jednostek budżetowych</t>
  </si>
  <si>
    <t>85416</t>
  </si>
  <si>
    <t>Pomoc materialna dla uczniów o charakterze motywacyjnym</t>
  </si>
  <si>
    <t>85417</t>
  </si>
  <si>
    <t>Szkolne schroniska młodzieżowe</t>
  </si>
  <si>
    <t>85420</t>
  </si>
  <si>
    <t>Młodzieżowe ośrodki wychowawcze</t>
  </si>
  <si>
    <t xml:space="preserve">dotacje na zadania bieżące </t>
  </si>
  <si>
    <t>Rodzina</t>
  </si>
  <si>
    <t>85503</t>
  </si>
  <si>
    <t>Karta Dużej Rodziny</t>
  </si>
  <si>
    <t>85508</t>
  </si>
  <si>
    <t>Rodziny zastępcze</t>
  </si>
  <si>
    <t>Gospodarka komunalna i ochrona środowiska</t>
  </si>
  <si>
    <t>90002</t>
  </si>
  <si>
    <t>Gospodarka odpadami</t>
  </si>
  <si>
    <t>90004</t>
  </si>
  <si>
    <t>Utrzymanie zieleni w miastach i gminach</t>
  </si>
  <si>
    <t>Ochrona powietrza atmosferycznego i klimatu</t>
  </si>
  <si>
    <t>90007</t>
  </si>
  <si>
    <t>Zmniejszenie hałasu i wibracji</t>
  </si>
  <si>
    <t>90008</t>
  </si>
  <si>
    <t>90015</t>
  </si>
  <si>
    <t>Oświetlenie ulic, placów i dróg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</si>
  <si>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</si>
  <si>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</si>
  <si>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</si>
  <si>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</si>
  <si>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90024</t>
  </si>
  <si>
    <t>Wpływy i wydatki związane z wprowadzeniem do obrotu baterii i akumulatorów</t>
  </si>
  <si>
    <t>90026</t>
  </si>
  <si>
    <t>Pozostałe działania związane z gospodarką odpadami</t>
  </si>
  <si>
    <t>90095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</si>
  <si>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</si>
  <si>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Kultura i ochrona dziedzictwa narodowego</t>
  </si>
  <si>
    <t>92106</t>
  </si>
  <si>
    <t xml:space="preserve">Teatry </t>
  </si>
  <si>
    <t>2480</t>
  </si>
  <si>
    <t>Dotacja podmiotowa z budżetu dla samorządowej instytucji kultury</t>
  </si>
  <si>
    <t>92108</t>
  </si>
  <si>
    <t>92109</t>
  </si>
  <si>
    <t>6229</t>
  </si>
  <si>
    <t>Zwrot niewykorzystanych dotacji oraz płatności, dotyczące wydatków majątkowych</t>
  </si>
  <si>
    <t>92110</t>
  </si>
  <si>
    <t>Galerie i biura wystaw artystycznych</t>
  </si>
  <si>
    <t>92114</t>
  </si>
  <si>
    <t>92118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</si>
  <si>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</si>
  <si>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</si>
  <si>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</si>
  <si>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2730</t>
  </si>
  <si>
    <t>Dotacje celowe otrzymane z budżetu przez użytkowników zabytków niebędących jednostkami budżetowymi na finansowanie i dofinansowanie prac remontowych i konserwatorskich przy tych zabytkach</t>
  </si>
  <si>
    <t>92195</t>
  </si>
  <si>
    <t>Dotacja celowa otrzymana od samorządu województwa na zadania bieżące realizowane na podstawie porozumień (umów) między jednostkami samorządu terytorialnego</t>
  </si>
  <si>
    <t>Ogrody botaniczne i zoologiczne oraz naturalne obszary i obiekty chronionej przyrody</t>
  </si>
  <si>
    <t>92501</t>
  </si>
  <si>
    <t>Parki narodowe</t>
  </si>
  <si>
    <t>92502</t>
  </si>
  <si>
    <t>92604</t>
  </si>
  <si>
    <t>dotacje  na zadania bieżące:</t>
  </si>
  <si>
    <t>2820</t>
  </si>
  <si>
    <t>Dotacja celowa z budżetu na finansowanie lub dofinansowanie zadań zleconych do realizacji stowarzyszeniom</t>
  </si>
  <si>
    <t>92695</t>
  </si>
  <si>
    <t>Razem: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</si>
  <si>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</si>
  <si>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</si>
  <si>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</si>
  <si>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</si>
  <si>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</si>
  <si>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</si>
  <si>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</si>
  <si>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</si>
  <si>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</si>
  <si>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</si>
  <si>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</si>
  <si>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</si>
  <si>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</si>
  <si>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</si>
  <si>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>Realizacja zadań inwestycyjnych pn.: 
1) „Modernizacja placów, dróg dojazdowych oraz pokrycia dachowego głównej bazy transportu i stacjonowania ambulansów Wojewódzkiej Stacji Pogotowia Ratunkowego w Rzeszowie” - 633.954,-zł,
2) „Dofinansowanie zakupu specjalistycznego sprzętu na doposażenie zespołów ratownictwa medycznego” - 100.000,-zł.</t>
  </si>
  <si>
    <t xml:space="preserve">Wojewódzki Dom Kultury w Rzeszowie 
</t>
  </si>
  <si>
    <t xml:space="preserve">Realizacja wskazanych zadań i programów:  
1) Letnia szkoła Gry na Cymbałach - 50.000,-zł 
2) Festiwal "Maszerujący muzykanci" - 50.000,-zł,
3) Festiwal Osób Niepełnosprawnych "Razem Piękniej" - 30.000,-zł,
4) Podkarpacki Szlak Filmowy - 70.000,-zł,
5) VIII Podkarpacka Jesień Jazzowa - 25.000,-zł,
6) współorganizacja XIX Światowego Festiwalu Polonijnych Zespołów Folklorystycznych - 300.000,-zł,
7) "Program wsparcia i promocji kultury lasowiackiej" - 50.000,-zł,
8) "GreenFilmTourism" - 36.202,-zł. </t>
  </si>
  <si>
    <t>Realizacja zadań inwestycyjnych pn. :
1) "wykonanie projektu budowlanego wraz z pozwoleniem na budowę dla inwestycji „Rozbudowa i przebudowa budynku WDK w Rzeszowie wraz z zagospodarowaniem skweru im. G. Gęsickiej i budową parkingów od strony południowej"" - 600.000,-zł,
2) "Podkarpacka Kronika Filmowa, w tym wsparcie produkcji filmów przyrodniczych" - 180.000,-zł,
3) "Modernizacja instalacji Systemu Sygnalizacji Pożaru w budynku WDK w Rzeszowie" - 300.000,-zł,
4) "Podkarpacki Regionalny Fundusz Filmowy - wsparcie Produkcji Filmowej" - 600.000,-zł.</t>
  </si>
  <si>
    <t>Realizacja wskazanych zadań i programów:
1) Międzynarodowy Festiwal Jazzowy „JAZZ BEZ…" - 50.000 zł,
2) 43. Biesiada Teatralna w Horyńcu Zdroju – Konfrontacje Zespołów Teatralnych Małych Form, reminiscencje horynieckie - 40.000 zł,
3) 43. Ogólnopolski Festiwal Kapel Folkloru Miejskiego im. Jerzego Janickiego - 30.000 zł,
4) realizacja projektów popularyzujących i interpretujących dziedzictwo regionalne Podkarpacia i Kresów Dawnej Rzeczypospolitej - 170.000 zł,
5) CK JAZZ - 30.000 zł.</t>
  </si>
  <si>
    <t xml:space="preserve">Realizacja zadań inwestycyjnych pn.:
1) "Modernizacja strony internetowej" - 70.000,
2) "Zakup przyczepy kontenerowej" - 38.000,-zł,
3) "Zakup regałów do archiwum" - 16.000,-zł. </t>
  </si>
  <si>
    <t>Realizacja zadania inwestycyjnego pn.: 
"Zakup sprzętu elektronicznego i wyposażenia".</t>
  </si>
  <si>
    <t xml:space="preserve">Realizacja wskazanych zadań i programów:
1) Dyskusyjne Kluby Książki - 30.000,-zł,
2) „Wykonywanie zadań powiatowej biblioteki publicznej dla Powiatu Rzeszowskiego” - 80.000,-zł. </t>
  </si>
  <si>
    <t>Realizacja wskazanych zadań i programów:
1) Karpacki Festiwal Archeologiczny Dwa Oblicza - Trzcinica 2022 - 150.000,-zł,
2) Człowiek, który zmienił świat. Obchody Roku Ignacego Łukasiewicza - 80.000,-zł.</t>
  </si>
  <si>
    <t>Realizacja wskazanych zadań i programów:  
1) Zielarstwo na terenie Podkarpacia wg. prac Franciszka Kotuli - 58.550,-zł,
2) "EtnoPodkarpackie" - 45.000,-zł.</t>
  </si>
  <si>
    <t>Realizacja zadania inwestycyjnego pn.: 
"Zakup wraz z montażem instalacji klimatyzacji w pomieszczeniach biurowych oraz sali konferencyjnej".</t>
  </si>
  <si>
    <t>Realizacja zadań inwestycyjnych pn.: 
1) "Budowa założenia plebańskiego: kontynuacja prac budowlanych plebanii z Ostrów Tuszowskich - 200.000,-zł,
2) "Budowa magazynu technicznego Muzeum Kultury Ludowej w Kolbuszowej: kontynuacja prac" - 140.000,-zł,  
3) "Zagroda z Bożej Woli: kontynuacja prac budowlanych" - 80.000,-zł, 
4)"Wykonanie dokumentacji projektowej monitoringu wizyjnego Parku Etnograficznego Muzeum Kultury Ludowej w Kolbuszowej" - 200.000,-zł,
5) "Budowa magazynu sprzętu rolniczego (strefa zaplecza „A”, założenie dworskie)" - 750.000,-zł,
6) "Wykonanie dokumentacji na modernizację budynku i otoczenia „Oficyny dworskiej”" - 170.000,-zł,
7) "Zakup sprzętu do obróbki drewna" - 76.840,-zł.</t>
  </si>
  <si>
    <t>Realizacja wskazanych zadań i programów: 
1) "Wydanie XII tomu czasopisma Acta Scansenologica" - 20.000,-zł, 
2) organizacja XLVI edycji Jarmarku Folklorystycznego - 30.000,-zł,
3) organizacja Festiwalu "Karpaty zaklęte w drewnie" - 40.000,-zł.</t>
  </si>
  <si>
    <t xml:space="preserve"> Plan wydatków budżetu Województwa Podkarpackiego na 2022r. -  
na zadania realizowane w ramach programów finansowanych z udziałem środków,
o których mowa w art. 5 ust. 1 pkt 2 i 3, ustawy o finansach publicznych 
(wg działów, rozdziałów, paragrafów i rodzajów wydatków)</t>
  </si>
  <si>
    <t>Jednostka realizująca / Nazwa zadania / Program</t>
  </si>
  <si>
    <t>Kwota ogółem w 2022r.</t>
  </si>
  <si>
    <t>budżet województwa</t>
  </si>
  <si>
    <t>środki UE</t>
  </si>
  <si>
    <t>budżet państwa</t>
  </si>
  <si>
    <t>inne</t>
  </si>
  <si>
    <t>6.</t>
  </si>
  <si>
    <t>10.</t>
  </si>
  <si>
    <t>I</t>
  </si>
  <si>
    <t>URZĄD MARSZAŁKOWSKI WOJEWÓDZTWA PODKARPACKIEGO W RZESZOWIE</t>
  </si>
  <si>
    <t>1</t>
  </si>
  <si>
    <r>
      <t xml:space="preserve">Dotacja celowa na rzecz beneficjentów osi priorytetowych I-VI RPO WP na lata 2014-2020 realizujących projekty o charakterze rewitalizacyjnym
</t>
    </r>
    <r>
      <rPr>
        <sz val="9"/>
        <rFont val="Arial"/>
        <family val="2"/>
        <charset val="238"/>
      </rPr>
      <t>Regionalny Program Operacyjny Województwa Podkarpackiego na lata 2014-2020 (WPF)
(Departament Zarządzania Regionalnym Programem Operacyjnym)</t>
    </r>
  </si>
  <si>
    <t>OGÓŁEM
z tego:</t>
  </si>
  <si>
    <t>wydatki majątkowe</t>
  </si>
  <si>
    <t>2</t>
  </si>
  <si>
    <r>
      <t xml:space="preserve">Dotacja celowa na rzecz beneficjentów osi priorytetowych I-VI RPO WP na lata 2014-2020 realizujących projekty o charakterze innym niż rewitalizacyjny
</t>
    </r>
    <r>
      <rPr>
        <sz val="9"/>
        <rFont val="Arial"/>
        <family val="2"/>
        <charset val="238"/>
      </rPr>
      <t>Regionalny Program Operacyjny Województwa Podkarpackiego na lata 2014-2020 (WPF)
(Departament Zarządzania Regionalnym Programem Operacyjnym)</t>
    </r>
  </si>
  <si>
    <t>3</t>
  </si>
  <si>
    <r>
      <rPr>
        <i/>
        <sz val="9"/>
        <rFont val="Arial"/>
        <family val="2"/>
        <charset val="238"/>
      </rPr>
      <t>Wsparcie procesu wdrażania RPO WP 2014-2020 poprzez działania o charakterze edukacyjno-promocyjnym w 2022 roku</t>
    </r>
    <r>
      <rPr>
        <sz val="9"/>
        <rFont val="Arial"/>
        <family val="2"/>
        <charset val="238"/>
      </rPr>
      <t xml:space="preserve">
Pomoc Techniczna - Regionalny Program Operacyjny Województwa Podkarpackiego na lata 2014-2020 (WPF)
(Departament Promocji, Turystyki i Współpracy Gospodarczej)</t>
    </r>
  </si>
  <si>
    <t>wydatki bieżące,
w tym:</t>
  </si>
  <si>
    <t>wynagrodzenia wraz z pochodnymi</t>
  </si>
  <si>
    <t>pozostałe wydatki bieżące</t>
  </si>
  <si>
    <t>4</t>
  </si>
  <si>
    <r>
      <t>Wsparcie procesu ewaluacji RPO WP 2014-2020 oraz przygotowań do perspektywy 2021-2027</t>
    </r>
    <r>
      <rPr>
        <sz val="9"/>
        <rFont val="Arial"/>
        <family val="2"/>
        <charset val="238"/>
      </rPr>
      <t xml:space="preserve">
Pomoc Techniczna - Regionalny Program Operacyjny Województwa Podkarpackiego na lata 2014-2020 (WPF)
(Departament Zarządzania Regionalnym Programem Operacyjnym)</t>
    </r>
  </si>
  <si>
    <t>5</t>
  </si>
  <si>
    <r>
      <rPr>
        <i/>
        <sz val="9"/>
        <rFont val="Arial"/>
        <family val="2"/>
        <charset val="238"/>
      </rPr>
      <t>Zatrudnienie pracowników UMWP w Rzeszowie zaangażowanych w realizację RPO WP w 2022 roku</t>
    </r>
    <r>
      <rPr>
        <sz val="9"/>
        <rFont val="Arial"/>
        <family val="2"/>
        <charset val="238"/>
      </rPr>
      <t xml:space="preserve">
Pomoc Techniczna - Regionalny Program Operacyjny Województwa Podkarpackiego na lata 2014-2020 (WPF)
(Departament Organizacyjno- Prawny)</t>
    </r>
  </si>
  <si>
    <t>6</t>
  </si>
  <si>
    <r>
      <t xml:space="preserve">Wsparcie UMWP w Rzeszowie w związku z realizacją RPO WP w 2022 roku
</t>
    </r>
    <r>
      <rPr>
        <sz val="9"/>
        <rFont val="Arial"/>
        <family val="2"/>
        <charset val="238"/>
      </rPr>
      <t>Pomoc Techniczna - Regionalny Program Operacyjny Województwa Podkarpackiego na lata 2014-2020 (WPF)
(Departament Organizacyjno- Prawny)</t>
    </r>
  </si>
  <si>
    <t>7</t>
  </si>
  <si>
    <r>
      <t xml:space="preserve">Dostawa, wdrożenie i utrzymanie Lokalnego Systemu Informatycznego służącego do obsługi RPO WP na lata 2014-2020 na potrzeby Urzędu Marszałkowskiego Województwa Podkarpackiego w Rzeszowie
</t>
    </r>
    <r>
      <rPr>
        <sz val="9"/>
        <color rgb="FFFF0000"/>
        <rFont val="Arial"/>
        <family val="2"/>
        <charset val="238"/>
      </rPr>
      <t>Pomoc Techniczna - Regionalny Program Operacyjny Województwa Podkarpackiego na lata 2014-2020
(Departament Organizacyjno - Prawny)</t>
    </r>
  </si>
  <si>
    <r>
      <t xml:space="preserve">Wsparcie działalności Regionalnego Obserwatorium Terytorialnego w procesie dostarczania niezbędnej wiedzy do zarządzania rozwojem regionu RPO WP 2014-2020
</t>
    </r>
    <r>
      <rPr>
        <sz val="9"/>
        <rFont val="Arial"/>
        <family val="2"/>
        <charset val="238"/>
      </rPr>
      <t>Pomoc Techniczna - Regionalny Program Operacyjny Województwa Podkarpackiego na lata 2014-2020 (WPF)
(Departament Rozwoju Regionalnego)</t>
    </r>
  </si>
  <si>
    <t>8</t>
  </si>
  <si>
    <r>
      <t xml:space="preserve">Podkarpacka Platforma Wsparcia Biznesu
</t>
    </r>
    <r>
      <rPr>
        <sz val="9"/>
        <rFont val="Arial"/>
        <family val="2"/>
        <charset val="238"/>
      </rPr>
      <t>Regionalny Program Operacyjny Województwa Podkarpackiego na lata 2014-2020 (WPF)
(Departament Gospodarki Regionalnej)</t>
    </r>
  </si>
  <si>
    <t>dotacje dla partnerów</t>
  </si>
  <si>
    <t>dotacje dla odbiorców ostatecznych</t>
  </si>
  <si>
    <t>9</t>
  </si>
  <si>
    <r>
      <t xml:space="preserve">Zakup taboru kolejowego do wykonywania przewozów pasażerskich na terenie Województwa Podkarpackiego-etap II
</t>
    </r>
    <r>
      <rPr>
        <sz val="9"/>
        <rFont val="Arial"/>
        <family val="2"/>
        <charset val="238"/>
      </rPr>
      <t>Regionalny Program Operacyjny Województwa Podkarpackiego na lata 2014-2020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Dróg i Publicznego Transportu Zbiorowego)</t>
    </r>
  </si>
  <si>
    <t>10</t>
  </si>
  <si>
    <r>
      <t xml:space="preserve">Podkarpacki System Informacji Przestrzennej (PSIP)
</t>
    </r>
    <r>
      <rPr>
        <sz val="9"/>
        <rFont val="Arial"/>
        <family val="2"/>
        <charset val="238"/>
      </rPr>
      <t>Regionalny Program Operacyjny Województwa Podkarpackiego na lata 2014-2020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Społeczeństwa Informacyjnego)</t>
    </r>
  </si>
  <si>
    <t>11</t>
  </si>
  <si>
    <r>
      <t xml:space="preserve">Podkarpacki System Informacji Medycznej (PSIM)
</t>
    </r>
    <r>
      <rPr>
        <sz val="9"/>
        <rFont val="Arial"/>
        <family val="2"/>
        <charset val="238"/>
      </rPr>
      <t>Regionalny Program Operacyjny Województwa Podkarpackiego na lata 2014-2020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Społeczeństwa Informacyjnego)</t>
    </r>
  </si>
  <si>
    <t>12</t>
  </si>
  <si>
    <r>
      <t xml:space="preserve">Inteligentne specjalizacje - narzędzie wzrostu innowacyjności i konkurencyjności województwa podkarpackiego
</t>
    </r>
    <r>
      <rPr>
        <sz val="9"/>
        <rFont val="Arial"/>
        <family val="2"/>
        <charset val="238"/>
      </rPr>
      <t>Regionalny Program Operacyjny Województwa Podkarpackiego na lata 2014-2020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Rozwoju Regionalnego)</t>
    </r>
  </si>
  <si>
    <t>13</t>
  </si>
  <si>
    <r>
      <t xml:space="preserve">Podkarpacki System e-Administracji Publicznej - 2 (PSeAP - 2)
</t>
    </r>
    <r>
      <rPr>
        <sz val="9"/>
        <rFont val="Arial"/>
        <family val="2"/>
        <charset val="238"/>
      </rPr>
      <t>Regionalny Program Operacyjny Województwa Podkarpackiego na lata 2014-2020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Społeczeństwa Informacyjnego)</t>
    </r>
  </si>
  <si>
    <t>14</t>
  </si>
  <si>
    <r>
      <t xml:space="preserve">Promocja Gospodarcza Województwa Podkarpackiego
</t>
    </r>
    <r>
      <rPr>
        <sz val="9"/>
        <rFont val="Arial"/>
        <family val="2"/>
        <charset val="238"/>
      </rPr>
      <t>Regionalny Program Operacyjny Województwa Podkarpackiego na lata 2014-2020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Promocji, Turystyki i Współpracy Gospodarczej)</t>
    </r>
  </si>
  <si>
    <r>
      <t xml:space="preserve">Poprawa bezpieczeństwa epidemiologicznego na terenie województwa podkarpackiego w związku z pojawieniem się koronawirusa SARS-CoV-2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Ochrony Zdrowia i Polityki Społecznej)</t>
    </r>
  </si>
  <si>
    <r>
      <t xml:space="preserve">Wsparcie stypendialne dla uczniów zdolnych - szkolnictwo ogólne - rok szkolny 2022/2023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Edukacji, Nauki i Sportu)</t>
    </r>
  </si>
  <si>
    <r>
      <t xml:space="preserve">Wsparcie stypendialne dla uczniów zdolnych - szkolnictwo zawodowe - rok szkolny 2022/2023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Edukacji, Nauki i Sportu)</t>
    </r>
  </si>
  <si>
    <t>15</t>
  </si>
  <si>
    <r>
      <t xml:space="preserve">Wsparcie stypendialne dla uczniów zdolnych - szkolnictwo ogólne - rok szkolny 2021/2022
</t>
    </r>
    <r>
      <rPr>
        <sz val="9"/>
        <rFont val="Arial"/>
        <family val="2"/>
        <charset val="238"/>
      </rPr>
      <t>Regionalny Program Operacyjny Województwa Podkarpackiego na lata 2014-2020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</si>
  <si>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16</t>
  </si>
  <si>
    <r>
      <t xml:space="preserve">Wsparcie stypendialne dla uczniów zdolnych - szkolnictwo zawodowe - rok szkolny 2021/2022
</t>
    </r>
    <r>
      <rPr>
        <sz val="9"/>
        <rFont val="Arial"/>
        <family val="2"/>
        <charset val="238"/>
      </rPr>
      <t>Regionalny Program Operacyjny Województwa Podkarpackiego na lata 2014-2020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</si>
  <si>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17</t>
  </si>
  <si>
    <r>
      <t xml:space="preserve">Utworzenie podkarpackiego centrum nauki
</t>
    </r>
    <r>
      <rPr>
        <sz val="9"/>
        <rFont val="Arial"/>
        <family val="2"/>
        <charset val="238"/>
      </rPr>
      <t>Regionalny Program Operacyjny Województwa Podkarpackiego na lata 2014-2020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Kultury i Ochrony Dziedzictwa Narodowego - Wojewódzki Dom Kultury w Rzeszowie)</t>
    </r>
  </si>
  <si>
    <t>18</t>
  </si>
  <si>
    <r>
      <t xml:space="preserve">Pomoc techniczna
</t>
    </r>
    <r>
      <rPr>
        <sz val="9"/>
        <rFont val="Arial"/>
        <family val="2"/>
        <charset val="238"/>
      </rPr>
      <t>Program Rozwoju Obszarów Wiejskich na lata 2014-2020
(Departament Programów Rozwoju Obszarów Wiejskich)</t>
    </r>
  </si>
  <si>
    <t>19</t>
  </si>
  <si>
    <r>
      <t xml:space="preserve">Pomoc techniczna
</t>
    </r>
    <r>
      <rPr>
        <sz val="9"/>
        <rFont val="Arial"/>
        <family val="2"/>
        <charset val="238"/>
      </rPr>
      <t>Program Operacyjny Rybactwo i Morze na lata 2014-2020
(Departament Programów Rozwoju Obszarów Wiejskich)</t>
    </r>
  </si>
  <si>
    <t>22</t>
  </si>
  <si>
    <r>
      <t xml:space="preserve">Budowa Podmiejskiej Kolei Aglomeracyjnej - PKA: zakup taboru
</t>
    </r>
    <r>
      <rPr>
        <sz val="9"/>
        <color rgb="FFFF0000"/>
        <rFont val="Arial"/>
        <family val="2"/>
        <charset val="238"/>
      </rPr>
      <t>Program Operacyjny Infrastruktura i Środowisko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Dróg i Publicznego Transportu Zbiorowego)</t>
    </r>
  </si>
  <si>
    <t>20</t>
  </si>
  <si>
    <r>
      <t xml:space="preserve">Budowa Podmiejskiej Kolei Aglomeracyjnej - PKA: budowa zaplecza technicznego
</t>
    </r>
    <r>
      <rPr>
        <sz val="9"/>
        <rFont val="Arial"/>
        <family val="2"/>
        <charset val="238"/>
      </rPr>
      <t>Program Operacyjny Infrastruktura i Środowisko na lata 2014-2020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Dróg i Publicznego Transportu Zbiorowego)</t>
    </r>
  </si>
  <si>
    <t>25</t>
  </si>
  <si>
    <r>
      <t xml:space="preserve">Budowa Podmiejskiej Kolei Aglomeracyjnej - PKA: budowa i modernizacja linii kolejowych oraz infrastruktury przystankowej
</t>
    </r>
    <r>
      <rPr>
        <sz val="9"/>
        <color rgb="FFFF0000"/>
        <rFont val="Arial"/>
        <family val="2"/>
        <charset val="238"/>
      </rPr>
      <t>Program Operacyjny Infrastruktura i Środowisko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Dróg i Publicznego Transportu Zbiorowego)</t>
    </r>
  </si>
  <si>
    <t>21</t>
  </si>
  <si>
    <r>
      <t xml:space="preserve">Zachowanie i promocja dziedzictwa przyrodniczego i kulturowego poprzez Zielone Szlaki
</t>
    </r>
    <r>
      <rPr>
        <sz val="9"/>
        <rFont val="Arial"/>
        <family val="2"/>
        <charset val="238"/>
      </rPr>
      <t>Program Interreg Europa na lata 2014-2020 (WPF)
(Departament Gospodarki Regionalnej)</t>
    </r>
  </si>
  <si>
    <r>
      <t xml:space="preserve">CRinMA - Cultural Resources in the Mountain Areas
</t>
    </r>
    <r>
      <rPr>
        <sz val="9"/>
        <rFont val="Arial"/>
        <family val="2"/>
        <charset val="238"/>
      </rPr>
      <t>Program Interreg Europa na lata 2014-2020 (WPF)
(Departament Kultury i Ochrony Dziedzictwa Narodowego)</t>
    </r>
  </si>
  <si>
    <t>23</t>
  </si>
  <si>
    <r>
      <t xml:space="preserve">Karpackie Morza. Działania na rzecz promocji dziedzictwa przyrodniczego Jeziora Solińskiego i Wielkiej Domaszy
</t>
    </r>
    <r>
      <rPr>
        <sz val="9"/>
        <rFont val="Arial"/>
        <family val="2"/>
        <charset val="238"/>
      </rPr>
      <t>Program Współpracy Transgranicznej Interreg V-A Polska - Słowacja na lata 2014-2020 (WPF)
(Departament Gospodarki Regionalnej)</t>
    </r>
  </si>
  <si>
    <t>24</t>
  </si>
  <si>
    <r>
      <t xml:space="preserve">Wspólnie wzbogacamy polsko-słowackie pogranicze
Pomoc techniczna - </t>
    </r>
    <r>
      <rPr>
        <sz val="9"/>
        <rFont val="Arial"/>
        <family val="2"/>
        <charset val="238"/>
      </rPr>
      <t>Program Współpracy Transgranicznej Interreg V-A Polska - Słowacja na lata 2014-2020 (WPF)
(Departament Gospodarki Regionalnej)</t>
    </r>
  </si>
  <si>
    <t>31</t>
  </si>
  <si>
    <r>
      <t xml:space="preserve">Funkcjonowanie Oddziału Programu Współpracy Transgranicznej EIS Polska - Białoruś - Ukraina 2014-2020 w Rzeszowie
</t>
    </r>
    <r>
      <rPr>
        <sz val="9"/>
        <color rgb="FFFF0000"/>
        <rFont val="Arial"/>
        <family val="2"/>
        <charset val="238"/>
      </rPr>
      <t>Program Współpracy Transgranicznej Polska- Białoruś - Ukraina na lata 2014-2020 (WPF)
(Biuro "Oddział Programu Współpracy Transgranicznej POLSKA-BIAŁORUŚ-UKRAINA 2014-2020 w Rzeszowie")</t>
    </r>
  </si>
  <si>
    <r>
      <t xml:space="preserve">Świat karpackich rozet - działania na rzecz zachowania kulturowej unikalności Karpat
</t>
    </r>
    <r>
      <rPr>
        <sz val="9"/>
        <rFont val="Arial"/>
        <family val="2"/>
        <charset val="238"/>
      </rPr>
      <t>Program Współpracy Transgranicznej Polska - Białoruś - Ukraina na lata 2014-2020 (WPF)
(Departament Gospodarki Regionalnej)</t>
    </r>
  </si>
  <si>
    <t>26</t>
  </si>
  <si>
    <r>
      <t xml:space="preserve">Naftowe dziedzictwo działalności Ignacego Łukasiewicza
</t>
    </r>
    <r>
      <rPr>
        <sz val="9"/>
        <rFont val="Arial"/>
        <family val="2"/>
        <charset val="238"/>
      </rPr>
      <t>Program Współpracy Transgranicznej Polska - Białoruś - Ukraina na lata 2014-2020 (WPF)
(Departament Gospodarki Regionalnej)</t>
    </r>
  </si>
  <si>
    <t>27</t>
  </si>
  <si>
    <r>
      <t xml:space="preserve">Zintegrowany i uspołeczniony model planowania przestrzennego poprzez opracowanie Strategii Przestrzennej Rzeszowskiego Obszaru Funkcjonalnego
</t>
    </r>
    <r>
      <rPr>
        <sz val="9"/>
        <rFont val="Arial"/>
        <family val="2"/>
        <charset val="238"/>
      </rPr>
      <t>Program Operacyjny Wiedza Edukacja Rozwój na lata 2014-2020 (WPF)
(Departament Rozwoju Regionalnego)</t>
    </r>
  </si>
  <si>
    <t>28</t>
  </si>
  <si>
    <r>
      <t xml:space="preserve">Wysokie standardy obsługi inwestora w samorządach województwa podkarpackiego
</t>
    </r>
    <r>
      <rPr>
        <sz val="9"/>
        <rFont val="Arial"/>
        <family val="2"/>
        <charset val="238"/>
      </rPr>
      <t>Program Operacyjny Wiedza Edukacja Rozwój na lata 2014-2020 (WPF)
(Departament Rozwoju Regionalnego)</t>
    </r>
  </si>
  <si>
    <t>29</t>
  </si>
  <si>
    <r>
      <t xml:space="preserve">Punkty Informacyjne Funduszy Europejskich
</t>
    </r>
    <r>
      <rPr>
        <sz val="9"/>
        <rFont val="Arial"/>
        <family val="2"/>
        <charset val="238"/>
      </rPr>
      <t>Program Operacyjny Pomoc Techniczna na lata 2014-2020 (WPF)
(Biuro Informacji o Funduszach Europejskich)</t>
    </r>
  </si>
  <si>
    <t>30</t>
  </si>
  <si>
    <r>
      <t xml:space="preserve">Zadanie polegające na wzmacnianiu zdolności gmin do programowania i wdrażania działań rewitalizacyjnych
</t>
    </r>
    <r>
      <rPr>
        <sz val="9"/>
        <rFont val="Arial"/>
        <family val="2"/>
        <charset val="238"/>
      </rPr>
      <t>Program Operacyjny Pomoc Techniczna na lata 2014-2020 (WPF)
(Departament Gospodarki Regionalnej)</t>
    </r>
  </si>
  <si>
    <t>dotacje dla beneficjentów</t>
  </si>
  <si>
    <r>
      <t xml:space="preserve">Szlak Karpacki - odkrywanie, promocja i ochrona bogactwa kulturowego i przyrodniczego regionu Karpat
</t>
    </r>
    <r>
      <rPr>
        <sz val="9"/>
        <rFont val="Arial"/>
        <family val="2"/>
        <charset val="238"/>
      </rPr>
      <t>Fundusze Norweskie i EOG (WPF)
(Departament Gospodarki Regionalnej)</t>
    </r>
  </si>
  <si>
    <t>II</t>
  </si>
  <si>
    <t>PODKARPACKI ZARZĄD DRÓG WOJEWÓDZKICH W RZESZOWIE</t>
  </si>
  <si>
    <r>
      <t xml:space="preserve">Budowa drogi wojewódzkiej nr 886 na odcinku pomiędzy planowaną obwodnicą miasta Sanoka a drogą krajową nr 28
</t>
    </r>
    <r>
      <rPr>
        <sz val="9"/>
        <rFont val="Arial"/>
        <family val="2"/>
        <charset val="238"/>
      </rPr>
      <t>Regionalny Program Operacyjny Województwa Podkarpackiego na lata 2014-2020 (WPF)</t>
    </r>
  </si>
  <si>
    <r>
      <t xml:space="preserve">Przebudowa/rozbudowa drogi wojewódzkiej nr 881 na odcinku Kańczuga - Pruchnik
</t>
    </r>
    <r>
      <rPr>
        <sz val="9"/>
        <rFont val="Arial"/>
        <family val="2"/>
        <charset val="238"/>
      </rPr>
      <t>Regionalny Program Operacyjny Województwa Podkarpackiego na lata 2014-2020 (WPF)</t>
    </r>
  </si>
  <si>
    <r>
      <t xml:space="preserve">Budowa/przebudowa drogi wojewódzkiej nr 835 Lublin-Przeworsk-Grabownica Starzeńska na odcinku od DK 94 do miasta Kańczuga - etap I
</t>
    </r>
    <r>
      <rPr>
        <sz val="9"/>
        <rFont val="Arial"/>
        <family val="2"/>
        <charset val="238"/>
      </rPr>
      <t>Regionalny Program Operacyjny Województwa Podkarpackiego na lata 2014-2020 (WPF)</t>
    </r>
  </si>
  <si>
    <r>
      <t xml:space="preserve">Budowa/przebudowa drogi wojewódzkiej nr 835 Lublin-Przeworsk-Grabownica Starzeńska na odcinku od DK 94 do miasta Kańczuga - etap II
</t>
    </r>
    <r>
      <rPr>
        <sz val="9"/>
        <rFont val="Arial"/>
        <family val="2"/>
        <charset val="238"/>
      </rPr>
      <t>Regionalny Program Operacyjny Województwa Podkarpackiego na lata 2014-2020 (WPF)</t>
    </r>
  </si>
  <si>
    <r>
      <t xml:space="preserve">Budowa nowego odcinka drogi wojewódzkiej nr 984 od m. Piątkowiec przez m. Rzędzianowice do ul. Sienkiewicza w Mielcu wraz z budową mostu na rzece Wisłoka
</t>
    </r>
    <r>
      <rPr>
        <sz val="9"/>
        <rFont val="Arial"/>
        <family val="2"/>
        <charset val="238"/>
      </rPr>
      <t>Regionalny Program Operacyjny Województwa Podkarpackiego na lata 2014-2020 (WPF)</t>
    </r>
  </si>
  <si>
    <r>
      <t xml:space="preserve">Budowa drogi wojewódzkiej Nr 987 na odcinku od DK 94 przez ul. Księżomost do DP 1334 R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</si>
  <si>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865 Jarosław-Bełżec na odcinku od m. Zapałów do m. Oleszyce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</si>
  <si>
    <r>
      <t xml:space="preserve">Przebudowa/rozbudowa DW 895 na odcinku Solina-Myczków i DW 894 na odcinku Hoczew-Polańczyk
</t>
    </r>
    <r>
      <rPr>
        <sz val="9"/>
        <rFont val="Arial"/>
        <family val="2"/>
        <charset val="238"/>
      </rPr>
      <t>Regionalny Program Operacyjny Województwa Podkarpackiego na lata 2014-2020 (WPF)</t>
    </r>
  </si>
  <si>
    <r>
      <t xml:space="preserve">Budowa obwodnicy Narola w ciągu drogi wojewódzkiej Nr 865
</t>
    </r>
    <r>
      <rPr>
        <sz val="9"/>
        <rFont val="Arial"/>
        <family val="2"/>
        <charset val="238"/>
      </rPr>
      <t>Regionalny Program Operacyjny Województwa Podkarpackiego na lata 2014-2020 (WPF)</t>
    </r>
  </si>
  <si>
    <r>
      <t xml:space="preserve">Budowa obwodnicy m. Kolbuszowa i Werynia w ciagu drogi wojewódzkiej nr 875 Mielec-Leżajsk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</si>
  <si>
    <r>
      <t xml:space="preserve">Budowa drogi wojewódzkiej nr 992 Jasło-Granica Państwa na odcinku pomiędzy drogą krajową Nr 28 a drogą krajową Nr 73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</si>
  <si>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861 Bojanów- Jeżowe- Kopki na odcinku od skrzyżowania drogi krajowej 19 w m. Jeżowe do węzła S-19 Podgórze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</si>
  <si>
    <r>
      <t>Rozbudowa drogi wojewódzkiej nr 878 Stobierna – Rzeszów – Dylągówka, na odcinku od ul. Lubelskiej w m. Rzeszów, do skrzyżowania z drogą wojewódzką nr 869 Droga 19 – Droga 9, w m. Jasionka (lokalny km od 0+020,65 do km 5+013,55) wraz z odcinkami nawiązania, z przebudową, budową niezbędnej infrastruktury technicznej, budowli i urządzeń budowlanych
Program Operacyjny Polska Wschodnia</t>
    </r>
    <r>
      <rPr>
        <sz val="9"/>
        <rFont val="Arial"/>
        <family val="2"/>
        <charset val="238"/>
      </rPr>
      <t xml:space="preserve"> na lata 2014-2020 (WPF)</t>
    </r>
  </si>
  <si>
    <r>
      <t xml:space="preserve">Przygotowanie dokumentacji technicznej i projektowej niezbędnej do rozbudowy sieci turystycznych tras rowerowych na terenie Bieszczad i włączenie ich do szlaku rowerowego Green Velo
</t>
    </r>
    <r>
      <rPr>
        <sz val="9"/>
        <rFont val="Arial"/>
        <family val="2"/>
        <charset val="238"/>
      </rPr>
      <t>Program Operacyjny Pomoc Techniczna na lata 2014-2020 (WPF)</t>
    </r>
  </si>
  <si>
    <t>III</t>
  </si>
  <si>
    <t>ZESPÓŁ KARPACKICH PARKÓW KRAJOBRAZOWYCH W KROŚNIE</t>
  </si>
  <si>
    <r>
      <t xml:space="preserve">Opracowanie dokumentacji na potrzeby planów ochrony dla pięciu Parków Krajobrazowych: Jaśliskiego, Ciśniańsko - Wetlińskiego, Doliny Sanu, Czarnorzecko - Strzyżowskiego i Pasma Brzanki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</si>
  <si>
    <t>IV</t>
  </si>
  <si>
    <t>ZESPÓŁ PARKÓW KRAJOBRAZOWYCH W PRZEMYŚLU</t>
  </si>
  <si>
    <r>
      <t xml:space="preserve">Opracowanie dokumentacji na potrzeby planów ochrony dla pięciu Parków Krajobrazowych: Pogórza Przemyskiego, Gór Słonnych, Południoworoztoczańskiego, Puszczy Solskiej oraz Lasów Janowskich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</si>
  <si>
    <t>V</t>
  </si>
  <si>
    <t>WOJEWÓDZKI OŚRODEK DOKUMENTACJI GEODEZYJNEJ I KARTOGRAFICZNEJ W RZESZOWIE</t>
  </si>
  <si>
    <r>
      <t xml:space="preserve">Podkarpacki System Informacji Przestrzennej (PSIP)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</si>
  <si>
    <t>PODKARPACKIE BIURO PLANOWANIA PRZESTRZENNEGO W RZESZOWIE</t>
  </si>
  <si>
    <r>
      <t xml:space="preserve">Zintegrowany i uspołeczniony model planowania przestrzennego poprzez opracowanie Strategii Przestrzennej Rzeszowskiego Obszaru Funkcjonalnego
</t>
    </r>
    <r>
      <rPr>
        <sz val="9"/>
        <rFont val="Arial"/>
        <family val="2"/>
        <charset val="238"/>
      </rPr>
      <t>Program Operacyjny Wiedza Edukacja Rozwój na lata 2014-2020 (WPF)</t>
    </r>
  </si>
  <si>
    <r>
      <t xml:space="preserve">Zadanie polegające na wzmacnianiu zdolności gmin do programowania i wdrażania działań rewitalizacyjnych
</t>
    </r>
    <r>
      <rPr>
        <sz val="9"/>
        <rFont val="Arial"/>
        <family val="2"/>
        <charset val="238"/>
      </rPr>
      <t xml:space="preserve">Program Operacyjny Pomoc Techniczna na lata 2014-2020 (WPF)
</t>
    </r>
  </si>
  <si>
    <t>WOJEWÓDZKI URZĄD PRACY W RZESZOWIE</t>
  </si>
  <si>
    <r>
      <t xml:space="preserve">Dotacja celowa dla beneficjentów realizujących projekty w ramach osi I
</t>
    </r>
    <r>
      <rPr>
        <sz val="9"/>
        <rFont val="Arial"/>
        <family val="2"/>
        <charset val="238"/>
      </rPr>
      <t>Program Operacyjny Wiedza Edukacja Rozwój na lata 2014-2020 (WPF)</t>
    </r>
  </si>
  <si>
    <r>
      <t xml:space="preserve">Dotacja celowa dla beneficjentów realizujących projekty w ramach osi VII - IX
</t>
    </r>
    <r>
      <rPr>
        <sz val="9"/>
        <rFont val="Arial"/>
        <family val="2"/>
        <charset val="238"/>
      </rPr>
      <t>Regionalny Program Operacyjny Województwa Podkarpackiego na lata 2014-2020 (WPF)</t>
    </r>
    <r>
      <rPr>
        <i/>
        <sz val="9"/>
        <rFont val="Arial"/>
        <family val="2"/>
        <charset val="238"/>
      </rPr>
      <t xml:space="preserve">
</t>
    </r>
  </si>
  <si>
    <r>
      <t xml:space="preserve">Pomoc techniczna
</t>
    </r>
    <r>
      <rPr>
        <sz val="9"/>
        <rFont val="Arial"/>
        <family val="2"/>
        <charset val="238"/>
      </rPr>
      <t>Program Operacyjny Wiedza, Edukacja, Rozwój na lata 2014-2020 (WPF)</t>
    </r>
  </si>
  <si>
    <r>
      <t xml:space="preserve">Pomoc techniczna RPO WP na lata 2014-2020 dla Wojewódzkiego Urzędu Pracy w Rzeszowie na rok 2020
</t>
    </r>
    <r>
      <rPr>
        <sz val="9"/>
        <color rgb="FFFF0000"/>
        <rFont val="Arial"/>
        <family val="2"/>
        <charset val="238"/>
      </rPr>
      <t>Pomoc Techniczna - Regionalny Program Operacyjny Województwa Podkarpackiego na lata 2014-2020</t>
    </r>
  </si>
  <si>
    <t>REGIONALNY OŚRODEK POLITYKI SPOŁECZNEJ W RZESZOWIE</t>
  </si>
  <si>
    <r>
      <t xml:space="preserve">Koordynacja sektora ekonomii społecznej w województwie podkarpackim w latach 2020-2022
</t>
    </r>
    <r>
      <rPr>
        <sz val="9"/>
        <rFont val="Arial"/>
        <family val="2"/>
        <charset val="238"/>
      </rPr>
      <t>Regionalny Program Operacyjny Województwa Podkarpackiego na lata 2014-2020 (WPF)</t>
    </r>
  </si>
  <si>
    <r>
      <t xml:space="preserve">Standardy w zakresie mieszkalnictwa wspomaganego dla osób chorujących psychicznie po wielokrotnych pobytach w szpitalu psychiatrycznym
</t>
    </r>
    <r>
      <rPr>
        <sz val="9"/>
        <rFont val="Arial"/>
        <family val="2"/>
        <charset val="238"/>
      </rPr>
      <t>Program Operacyjny Wiedza Edukacja Rozwój na lata 2014-2020 (WPF)</t>
    </r>
  </si>
  <si>
    <r>
      <t xml:space="preserve">Liderzy kooperacji
</t>
    </r>
    <r>
      <rPr>
        <sz val="9"/>
        <rFont val="Arial"/>
        <family val="2"/>
        <charset val="238"/>
      </rPr>
      <t>Program Operacyjny Wiedza Edukacja Rozwój na lata 2014-2020 (WPF)</t>
    </r>
  </si>
  <si>
    <r>
      <t xml:space="preserve">Kompetencje plus
</t>
    </r>
    <r>
      <rPr>
        <sz val="9"/>
        <rFont val="Arial"/>
        <family val="2"/>
        <charset val="238"/>
      </rPr>
      <t>Program Operacyjny Wiedza Edukacja Rozwój na lata 2014-2020 (WPF)</t>
    </r>
  </si>
  <si>
    <r>
      <t xml:space="preserve">Lepsze jutro
</t>
    </r>
    <r>
      <rPr>
        <sz val="9"/>
        <color rgb="FFFF0000"/>
        <rFont val="Arial"/>
        <family val="2"/>
        <charset val="238"/>
      </rPr>
      <t>Program Operacyjny Wiedza Edukacja Rozwój na lata 2014-2020</t>
    </r>
  </si>
  <si>
    <t>VI</t>
  </si>
  <si>
    <t>PODKARPACKI ZESPÓŁ PLACÓWEK WOJEWÓDZKICH W RZESZOWIE</t>
  </si>
  <si>
    <r>
      <t xml:space="preserve">Lekcja:Enter - Podkarpacie Uczy Cyfrowo II
</t>
    </r>
    <r>
      <rPr>
        <sz val="9"/>
        <rFont val="Arial"/>
        <family val="2"/>
        <charset val="238"/>
      </rPr>
      <t>Program Operacyjny Polska Cyfrowa na lata 2014-2020 (WPF)</t>
    </r>
  </si>
  <si>
    <r>
      <t xml:space="preserve">Rozwijanie kompetencji kadry dydaktycznej w zakresie doradztwa edukacyjno-zawodowego (makroregion IV)
</t>
    </r>
    <r>
      <rPr>
        <sz val="9"/>
        <color rgb="FFFF0000"/>
        <rFont val="Arial"/>
        <family val="2"/>
        <charset val="238"/>
      </rPr>
      <t>Program Operacyjny Wiedza Edukacja Rozwój na lata 2014-2020 (WPF)</t>
    </r>
  </si>
  <si>
    <r>
      <t xml:space="preserve">Zdalny nauczyciel = zdalna szkoła
</t>
    </r>
    <r>
      <rPr>
        <sz val="9"/>
        <color rgb="FFFF0000"/>
        <rFont val="Arial"/>
        <family val="2"/>
        <charset val="238"/>
      </rPr>
      <t>Program Operacyjny Wiedza Edukacja Rozwój na lata 2014-2020</t>
    </r>
  </si>
  <si>
    <t>RAZEM</t>
  </si>
  <si>
    <t>PODZIAŁ DOTACJI CELOWYCH NA REALIZACJĘ 
PROGRAMU OPERACYJNEGO WIEDZA, EDUKACJA, ROZWÓJ NA LATA 2014-2020</t>
  </si>
  <si>
    <t>Kwota ogółem</t>
  </si>
  <si>
    <t>dotacja dla partnerów projektu UMWP w Rzeszowie pn. "Zintegrowany i uspołeczniony model planowania przestrzennego poprzez opracowanie Strategii Przestrzennej Rzeszowskiego Obszaru Funkcjonalnego"</t>
  </si>
  <si>
    <t>dotacja dla partnerów projektu ROPS w Rzeszowie pn. "Liderzy kooperacji"</t>
  </si>
  <si>
    <t>dotacja dla partnera projektu UMWP w Rzeszowie pn. "Wysokie standardy obsługi inwestora w samorządach województwa podkarpackiego"</t>
  </si>
  <si>
    <t>dotacja celowa dla beneficjentów realizujących projekty w ramach POWER na lata 2014-2020</t>
  </si>
  <si>
    <t>PODZIAŁ DOTACJI CELOWYCH NA REALIZACJĘ 
REGIONALNEGO PROGRAMU OPERACYJNEGO WOJEWÓDZTWA PODKARPACKIEGO NA LATA 2014-2020</t>
  </si>
  <si>
    <t>dotacja celowa dla beneficjentów realizujących projekty w ramach RPO WP na lata 2014-2020</t>
  </si>
  <si>
    <t>dotacja dla partnerów projektu UMWP w Rzeszowie pn. "Podkarpacki System Informacji Przestrzennej (PSIP)"</t>
  </si>
  <si>
    <t>dotacja dla Wojewódzkiego Domu Kultury w Rzeszowie na realizację projektu pn. "Utworzenie podkarpackiego centrum nauki"</t>
  </si>
  <si>
    <t>dotacja dla partnera i odbiorców ostatecznych projektu UMWP w Rzeszowie pn. "Podkarpacka Platforma Wsparcia Biznesu"</t>
  </si>
  <si>
    <t>PODZIAŁ DOTACJI CELOWYCH NA REALIZACJĘ 
PROGRAMU OPERACYJNEGO POMOC TECHNICZNA NA LATA 2014-2020</t>
  </si>
  <si>
    <t>Dotacje dla jednostek sektora finansów publicznych</t>
  </si>
  <si>
    <t>dotacja dla partnerów projektu PZDW w Rzeszowie pn. "Przygotowanie dokumentacji technicznej i projektowej niezbędnej do rozbudowy sieci turystycznych tras rowerowych na terenie Bieszczad i włączenie ich do szlaku rowerowego Green Velo"</t>
  </si>
  <si>
    <t>na powierzenie i dofinansowanie zadań z zakresu turystyki w obszarach wynikających z zapisów Strategii rozwoju i komunikacji marketingowej turystyki województwa podkarpackiego na lata 2020-2025</t>
  </si>
  <si>
    <t>Realizację zadań inwestycyjnych pn.: 
1) "Zakup unikatowych eksponatów do zbiorów" - 315.600,-zł, 
2) "Karpacka Troja przyjazna dla środowiska" - 500.000,-zł.</t>
  </si>
  <si>
    <t>Składki na Fundusz Pracy oraz Fundusz Solidarnościowy</t>
  </si>
  <si>
    <t>Dotacja celowa przekazana gminie na inwestycje i zakupy inwestycyjne realizowane na podstawie porozumień (umów) między jednostkami samorządu terytorialnego</t>
  </si>
  <si>
    <t>Miasto Leżajsk</t>
  </si>
  <si>
    <t>Realizacja porozumienia dotyczącego wykonania zadania pn."Wykonanie dokumentacji projektowej przebudowy skrzyżowania ul. Michałka na skrzyżowanie typu rondo w m. Leżajsk”</t>
  </si>
  <si>
    <t>Realizacja zadań inwestycyjnych pn.: 
1) "Poprawa dostępności do kompleksu budynków Wojewódzkiego Szpitala Podkarpackiego im. Jana Pawła II w Krośnie poprzez przebudowę układu komunikacyjnego i parkingów- etap I" - 2.840.520,-zł
2)  „Zakup sprzętu medycznego: laseru holmowego, aparatu USG, urządzenia do radiochirurgii skóry, artroskopu oraz sterylizatora plazmowego dla Wojewódzkiego Szpitala Podkarpackiego im. Jana Pawła II w Krośnie”  - 1.539.500,-zł</t>
  </si>
  <si>
    <t>Środki pochodzące z budżetu Unii Europejskiej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</si>
  <si>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Dotacja celowa z budżetu państwa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</si>
  <si>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r>
      <t xml:space="preserve">Pomoc techniczna RPO WP na lata 2014-2020 dla Wojewódzkiego Urzędu Pracy w Rzeszowie na rok 2022
</t>
    </r>
    <r>
      <rPr>
        <sz val="9"/>
        <rFont val="Arial"/>
        <family val="2"/>
        <charset val="238"/>
      </rPr>
      <t>Pomoc Techniczna - Regionalny Program Operacyjny Województwa Podkarpackiego na lata 2014-2020 (WPF)</t>
    </r>
  </si>
  <si>
    <t>Tabela Nr 1 do Uchwały Nr XLIII/726/21 Sejmiku Województwa Podkarpackiego w Rzeszowie 
z dnia 28 grudnia 2021 r.</t>
  </si>
  <si>
    <t>Tabela nr 2 do Uchwały Nr XLIII/726/21 Sejmiku Województwa Podkarpackiego w Rzeszowie z dnia 28 grudnia 2021 r.</t>
  </si>
  <si>
    <t xml:space="preserve">Tabela Nr 3 do Uchwały Nr XLIII/726/21
Sejmiku Województwa Podkarpackiego 
w Rzeszowie z dnia 28 grudnia 2021 r. </t>
  </si>
  <si>
    <t xml:space="preserve">Załącznik Nr 1
do  Uchwały Nr XLIII/726/21
Sejmiku Województwa Podkarpackiego 
 w Rzeszowie  z dnia 28 grudnia 2021 r.. </t>
  </si>
  <si>
    <t>Załącznik Nr 2
do  Uchwały Nr XLIII/726/21
Sejmiku Województwa Podkarpackiego 
 w Rzeszowie  z dnia 28 grudnia 2021 r.</t>
  </si>
  <si>
    <t>Załącznik  Nr 3
do  Uchwały Nr  XLIII/726/21
Sejmiku Województwa Podkarpackiego 
 w Rzeszowie  z dnia 28 grudnia 2021 r.</t>
  </si>
  <si>
    <t>Załącznik Nr 4
do  Uchwały Nr  XLIII/726/21
Sejmiku Województwa Podkarpackiego 
 w Rzeszowie  z dnia  28 grudnia 2021 r.</t>
  </si>
  <si>
    <t>Załącznik Nr  5
do  Uchwały Nr  XLIII/726/21
Sejmiku Województwa Podkarpackiego 
 w Rzeszowie z dnia 28 grudnia 2021 r.</t>
  </si>
  <si>
    <t>Załącznik Nr 6
do  Uchwały Nr XLIII/726/21
Sejmiku Województwa Podkarpackiego 
 w Rzeszowie  z dnia 28 grudnia 2021 r.</t>
  </si>
  <si>
    <t>Załącznik Nr 7
do  Uchwały Nr XLIII/726/21
Sejmiku Województwa Podkarpackiego 
 w Rzeszowie  z dnia 28 grudnia 2021 r.</t>
  </si>
  <si>
    <t>Załącznik Nr 8
do  Uchwały Nr XLIII/726/21 
Sejmiku Województwa Podkarpackiego 
 w Rzeszowie  z dnia 28 grudnia 2021 r.</t>
  </si>
  <si>
    <t xml:space="preserve">Załącznik Nr 9
do  Uchwały Nr XLIII/726/21
Sejmiku Województwa Podkarpackiego 
 w Rzeszowie  z dnia 28 grudnia 2021 r. </t>
  </si>
  <si>
    <t xml:space="preserve">Załącznik Nr 10
do  Uchwały Nr XLIII/726/21 
Sejmiku Województwa Podkarpackiego 
 w Rzeszowie  z dnia  28 grudnia 2021 r. </t>
  </si>
  <si>
    <t>Załącznik Nr 11 
do  Uchwały Nr XLIII/726/21
Sejmiku Województwa Podkarpackiego 
 w Rzeszowie  z dnia 28 grudnia 2021 r.</t>
  </si>
  <si>
    <t>Załącznik Nr 12
do  Uchwały Nr XLIII/726/21
Sejmiku Województwa Podkarpackiego 
 w Rzeszowie  z dnia 28 grudnia 2021 r.</t>
  </si>
  <si>
    <t>Załącznik Nr 13
do Uchwały Nr XLIII/726/21
Sejmiku Województwa Podkarpackiego 
 w Rzeszowie  z dnia 28 grudnia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</si>
</sst>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"/>
  </numFmts>
  <fonts count="11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8"/>
      <name val="Arial CE"/>
      <charset val="238"/>
    </font>
    <font>
      <i/>
      <sz val="8"/>
      <name val="Arial"/>
      <family val="2"/>
      <charset val="238"/>
    </font>
    <font>
      <sz val="10"/>
      <name val="Times New Roman CE"/>
      <family val="1"/>
      <charset val="238"/>
    </font>
    <font>
      <b/>
      <i/>
      <sz val="12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2"/>
      <name val="Arial"/>
      <family val="2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1"/>
      <name val="Arial CE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  <font>
      <sz val="11"/>
      <name val="Times New Roman CE"/>
      <family val="1"/>
      <charset val="238"/>
    </font>
    <font>
      <sz val="11"/>
      <name val="Arial"/>
      <family val="2"/>
    </font>
    <font>
      <i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 CE"/>
      <charset val="238"/>
    </font>
    <font>
      <b/>
      <i/>
      <sz val="10"/>
      <color rgb="FFFF0000"/>
      <name val="Arial"/>
      <family val="2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i/>
      <sz val="10"/>
      <color rgb="FFFF0000"/>
      <name val="Arial CE"/>
      <charset val="238"/>
    </font>
    <font>
      <b/>
      <sz val="10"/>
      <color theme="1"/>
      <name val="Arial CE"/>
      <charset val="238"/>
    </font>
    <font>
      <b/>
      <sz val="10"/>
      <color rgb="FFFF0000"/>
      <name val="Arial CE"/>
      <charset val="238"/>
    </font>
    <font>
      <i/>
      <sz val="10"/>
      <color theme="1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 CE"/>
      <charset val="238"/>
    </font>
    <font>
      <b/>
      <i/>
      <u/>
      <sz val="10"/>
      <color theme="1"/>
      <name val="Arial"/>
      <family val="2"/>
      <charset val="238"/>
    </font>
    <font>
      <sz val="9"/>
      <color theme="1"/>
      <name val="Arial CE"/>
      <charset val="238"/>
    </font>
    <font>
      <u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rial CE"/>
      <charset val="238"/>
    </font>
    <font>
      <b/>
      <sz val="11"/>
      <color rgb="FFFF0000"/>
      <name val="Arial CE"/>
      <charset val="238"/>
    </font>
    <font>
      <b/>
      <sz val="11"/>
      <name val="Arial CE"/>
      <charset val="238"/>
    </font>
    <font>
      <i/>
      <sz val="11"/>
      <color theme="1"/>
      <name val="Arial CE"/>
      <charset val="238"/>
    </font>
    <font>
      <sz val="11"/>
      <color theme="1"/>
      <name val="Arial CE"/>
      <charset val="238"/>
    </font>
    <font>
      <b/>
      <i/>
      <sz val="11"/>
      <color theme="1"/>
      <name val="Arial CE"/>
      <charset val="238"/>
    </font>
    <font>
      <b/>
      <i/>
      <sz val="11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Czcionka tekstu podstawowego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 CE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 CE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9"/>
      <color rgb="FFFF0000"/>
      <name val="Arial CE"/>
      <charset val="238"/>
    </font>
    <font>
      <b/>
      <i/>
      <sz val="10"/>
      <color rgb="FFFF0000"/>
      <name val="Arial CE"/>
      <charset val="238"/>
    </font>
    <font>
      <b/>
      <i/>
      <sz val="10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rgb="FFFFFF66"/>
        <bgColor indexed="0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C5DF41"/>
        <bgColor indexed="64"/>
      </patternFill>
    </fill>
    <fill>
      <patternFill patternType="solid">
        <fgColor rgb="FFCCCC00"/>
        <bgColor indexed="64"/>
      </patternFill>
    </fill>
  </fills>
  <borders count="8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/>
    <xf numFmtId="0" fontId="12" fillId="0" borderId="0"/>
    <xf numFmtId="44" fontId="5" fillId="0" borderId="0" applyFont="0" applyFill="0" applyBorder="0" applyAlignment="0" applyProtection="0"/>
    <xf numFmtId="0" fontId="5" fillId="0" borderId="0"/>
    <xf numFmtId="9" fontId="12" fillId="0" borderId="0" applyFont="0" applyFill="0" applyBorder="0" applyAlignment="0" applyProtection="0"/>
    <xf numFmtId="0" fontId="4" fillId="0" borderId="0"/>
    <xf numFmtId="0" fontId="5" fillId="0" borderId="0"/>
  </cellStyleXfs>
  <cellXfs count="4353">
    <xf numFmtId="0" fontId="0" fillId="0" borderId="0" xfId="0"/>
    <xf numFmtId="0" fontId="7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3" fontId="18" fillId="0" borderId="0" xfId="1" applyNumberFormat="1" applyFont="1" applyAlignment="1">
      <alignment vertical="center"/>
    </xf>
    <xf numFmtId="0" fontId="1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 wrapText="1"/>
    </xf>
    <xf numFmtId="0" fontId="18" fillId="0" borderId="0" xfId="1" applyFont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0" fontId="11" fillId="3" borderId="41" xfId="1" applyFont="1" applyFill="1" applyBorder="1" applyAlignment="1">
      <alignment horizontal="center" vertical="center"/>
    </xf>
    <xf numFmtId="0" fontId="11" fillId="3" borderId="35" xfId="1" applyFont="1" applyFill="1" applyBorder="1" applyAlignment="1">
      <alignment horizontal="center" vertical="center"/>
    </xf>
    <xf numFmtId="0" fontId="11" fillId="3" borderId="42" xfId="1" applyFont="1" applyFill="1" applyBorder="1" applyAlignment="1">
      <alignment horizontal="center" vertical="center" wrapText="1"/>
    </xf>
    <xf numFmtId="3" fontId="11" fillId="5" borderId="46" xfId="1" applyNumberFormat="1" applyFont="1" applyFill="1" applyBorder="1" applyAlignment="1">
      <alignment horizontal="right" vertical="center"/>
    </xf>
    <xf numFmtId="3" fontId="8" fillId="0" borderId="25" xfId="1" applyNumberFormat="1" applyFont="1" applyBorder="1" applyAlignment="1">
      <alignment horizontal="right" vertical="center"/>
    </xf>
    <xf numFmtId="0" fontId="7" fillId="0" borderId="24" xfId="1" applyFont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3" fontId="7" fillId="0" borderId="25" xfId="1" applyNumberFormat="1" applyFont="1" applyBorder="1" applyAlignment="1">
      <alignment horizontal="right" vertical="center"/>
    </xf>
    <xf numFmtId="3" fontId="11" fillId="5" borderId="25" xfId="1" applyNumberFormat="1" applyFont="1" applyFill="1" applyBorder="1" applyAlignment="1">
      <alignment horizontal="right" vertical="center"/>
    </xf>
    <xf numFmtId="0" fontId="7" fillId="0" borderId="24" xfId="1" applyFont="1" applyFill="1" applyBorder="1" applyAlignment="1">
      <alignment horizontal="center" vertical="center"/>
    </xf>
    <xf numFmtId="3" fontId="18" fillId="5" borderId="0" xfId="1" applyNumberFormat="1" applyFont="1" applyFill="1" applyAlignment="1">
      <alignment vertical="center"/>
    </xf>
    <xf numFmtId="0" fontId="7" fillId="0" borderId="22" xfId="1" applyFont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3" fontId="7" fillId="0" borderId="47" xfId="1" applyNumberFormat="1" applyFont="1" applyBorder="1" applyAlignment="1">
      <alignment horizontal="right" vertical="center"/>
    </xf>
    <xf numFmtId="3" fontId="11" fillId="3" borderId="42" xfId="1" applyNumberFormat="1" applyFont="1" applyFill="1" applyBorder="1" applyAlignment="1">
      <alignment horizontal="right" vertical="center"/>
    </xf>
    <xf numFmtId="49" fontId="18" fillId="0" borderId="0" xfId="1" applyNumberFormat="1" applyFont="1" applyAlignment="1">
      <alignment horizontal="center" vertical="center"/>
    </xf>
    <xf numFmtId="3" fontId="18" fillId="0" borderId="0" xfId="1" applyNumberFormat="1" applyFont="1" applyAlignment="1">
      <alignment horizontal="right" vertical="center"/>
    </xf>
    <xf numFmtId="49" fontId="18" fillId="0" borderId="0" xfId="1" applyNumberFormat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20" fillId="0" borderId="0" xfId="1" applyFont="1" applyAlignment="1">
      <alignment vertical="center"/>
    </xf>
    <xf numFmtId="0" fontId="11" fillId="3" borderId="22" xfId="1" applyFont="1" applyFill="1" applyBorder="1" applyAlignment="1">
      <alignment horizontal="center" vertical="center" wrapText="1"/>
    </xf>
    <xf numFmtId="0" fontId="14" fillId="6" borderId="31" xfId="1" applyFont="1" applyFill="1" applyBorder="1" applyAlignment="1">
      <alignment horizontal="center" vertical="center"/>
    </xf>
    <xf numFmtId="3" fontId="11" fillId="6" borderId="31" xfId="1" applyNumberFormat="1" applyFont="1" applyFill="1" applyBorder="1" applyAlignment="1">
      <alignment horizontal="right" vertical="center"/>
    </xf>
    <xf numFmtId="3" fontId="11" fillId="6" borderId="15" xfId="1" applyNumberFormat="1" applyFont="1" applyFill="1" applyBorder="1" applyAlignment="1">
      <alignment horizontal="right" vertical="center"/>
    </xf>
    <xf numFmtId="0" fontId="11" fillId="0" borderId="24" xfId="1" applyFont="1" applyFill="1" applyBorder="1" applyAlignment="1">
      <alignment horizontal="center" vertical="center" wrapText="1"/>
    </xf>
    <xf numFmtId="3" fontId="11" fillId="0" borderId="24" xfId="1" applyNumberFormat="1" applyFont="1" applyFill="1" applyBorder="1" applyAlignment="1">
      <alignment horizontal="right" vertical="center"/>
    </xf>
    <xf numFmtId="3" fontId="11" fillId="0" borderId="25" xfId="1" applyNumberFormat="1" applyFont="1" applyFill="1" applyBorder="1" applyAlignment="1">
      <alignment horizontal="right" vertical="center"/>
    </xf>
    <xf numFmtId="0" fontId="8" fillId="0" borderId="24" xfId="1" applyFont="1" applyFill="1" applyBorder="1" applyAlignment="1">
      <alignment horizontal="center" vertical="center" wrapText="1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5" xfId="1" applyNumberFormat="1" applyFont="1" applyFill="1" applyBorder="1" applyAlignment="1">
      <alignment horizontal="right" vertical="center"/>
    </xf>
    <xf numFmtId="49" fontId="14" fillId="6" borderId="24" xfId="1" applyNumberFormat="1" applyFont="1" applyFill="1" applyBorder="1" applyAlignment="1">
      <alignment horizontal="center" vertical="center"/>
    </xf>
    <xf numFmtId="3" fontId="11" fillId="6" borderId="24" xfId="1" applyNumberFormat="1" applyFont="1" applyFill="1" applyBorder="1" applyAlignment="1">
      <alignment horizontal="right" vertical="center"/>
    </xf>
    <xf numFmtId="3" fontId="11" fillId="6" borderId="25" xfId="1" applyNumberFormat="1" applyFont="1" applyFill="1" applyBorder="1" applyAlignment="1">
      <alignment horizontal="right" vertical="center"/>
    </xf>
    <xf numFmtId="3" fontId="14" fillId="0" borderId="24" xfId="1" applyNumberFormat="1" applyFont="1" applyFill="1" applyBorder="1" applyAlignment="1">
      <alignment horizontal="right" vertical="center"/>
    </xf>
    <xf numFmtId="3" fontId="14" fillId="0" borderId="25" xfId="1" applyNumberFormat="1" applyFont="1" applyFill="1" applyBorder="1" applyAlignment="1">
      <alignment horizontal="right" vertical="center"/>
    </xf>
    <xf numFmtId="0" fontId="11" fillId="6" borderId="24" xfId="1" applyFont="1" applyFill="1" applyBorder="1" applyAlignment="1">
      <alignment horizontal="center" vertical="center"/>
    </xf>
    <xf numFmtId="49" fontId="11" fillId="6" borderId="24" xfId="1" applyNumberFormat="1" applyFont="1" applyFill="1" applyBorder="1" applyAlignment="1">
      <alignment horizontal="center" vertical="center"/>
    </xf>
    <xf numFmtId="3" fontId="18" fillId="7" borderId="0" xfId="1" applyNumberFormat="1" applyFont="1" applyFill="1" applyAlignment="1">
      <alignment horizontal="center" vertical="center"/>
    </xf>
    <xf numFmtId="0" fontId="18" fillId="7" borderId="0" xfId="1" applyFont="1" applyFill="1" applyAlignment="1">
      <alignment horizontal="center" vertical="center"/>
    </xf>
    <xf numFmtId="3" fontId="15" fillId="0" borderId="24" xfId="1" applyNumberFormat="1" applyFont="1" applyFill="1" applyBorder="1" applyAlignment="1">
      <alignment horizontal="right" vertical="center"/>
    </xf>
    <xf numFmtId="3" fontId="15" fillId="0" borderId="25" xfId="1" applyNumberFormat="1" applyFont="1" applyFill="1" applyBorder="1" applyAlignment="1">
      <alignment horizontal="right" vertical="center"/>
    </xf>
    <xf numFmtId="3" fontId="8" fillId="7" borderId="0" xfId="1" applyNumberFormat="1" applyFont="1" applyFill="1" applyAlignment="1">
      <alignment horizontal="center" vertical="center"/>
    </xf>
    <xf numFmtId="0" fontId="8" fillId="7" borderId="0" xfId="1" applyFont="1" applyFill="1" applyAlignment="1">
      <alignment horizontal="center" vertical="center"/>
    </xf>
    <xf numFmtId="49" fontId="11" fillId="0" borderId="24" xfId="1" applyNumberFormat="1" applyFont="1" applyFill="1" applyBorder="1" applyAlignment="1">
      <alignment horizontal="center" vertical="center"/>
    </xf>
    <xf numFmtId="0" fontId="11" fillId="6" borderId="31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  <xf numFmtId="3" fontId="8" fillId="0" borderId="51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horizontal="right" vertical="center"/>
    </xf>
    <xf numFmtId="0" fontId="8" fillId="0" borderId="22" xfId="1" applyFont="1" applyFill="1" applyBorder="1" applyAlignment="1">
      <alignment horizontal="center" vertical="center" wrapText="1"/>
    </xf>
    <xf numFmtId="3" fontId="8" fillId="0" borderId="22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/>
    </xf>
    <xf numFmtId="49" fontId="11" fillId="3" borderId="35" xfId="1" applyNumberFormat="1" applyFont="1" applyFill="1" applyBorder="1" applyAlignment="1">
      <alignment horizontal="center" vertical="center"/>
    </xf>
    <xf numFmtId="3" fontId="11" fillId="3" borderId="35" xfId="1" applyNumberFormat="1" applyFont="1" applyFill="1" applyBorder="1" applyAlignment="1">
      <alignment horizontal="right" vertical="center"/>
    </xf>
    <xf numFmtId="49" fontId="18" fillId="0" borderId="0" xfId="1" applyNumberFormat="1" applyFont="1" applyAlignment="1">
      <alignment horizontal="center" vertical="top"/>
    </xf>
    <xf numFmtId="49" fontId="22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top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top"/>
    </xf>
    <xf numFmtId="0" fontId="24" fillId="0" borderId="0" xfId="1" applyFont="1" applyBorder="1" applyAlignment="1">
      <alignment horizontal="center" vertical="top"/>
    </xf>
    <xf numFmtId="0" fontId="16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9" fillId="2" borderId="54" xfId="1" applyFont="1" applyFill="1" applyBorder="1" applyAlignment="1">
      <alignment horizontal="center" vertical="center" wrapText="1"/>
    </xf>
    <xf numFmtId="0" fontId="9" fillId="2" borderId="53" xfId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right" vertical="center"/>
    </xf>
    <xf numFmtId="3" fontId="9" fillId="3" borderId="34" xfId="1" applyNumberFormat="1" applyFont="1" applyFill="1" applyBorder="1" applyAlignment="1">
      <alignment horizontal="right" vertical="center"/>
    </xf>
    <xf numFmtId="3" fontId="9" fillId="3" borderId="42" xfId="1" applyNumberFormat="1" applyFont="1" applyFill="1" applyBorder="1" applyAlignment="1">
      <alignment horizontal="right" vertical="center"/>
    </xf>
    <xf numFmtId="3" fontId="8" fillId="0" borderId="8" xfId="1" applyNumberFormat="1" applyFont="1" applyBorder="1" applyAlignment="1">
      <alignment horizontal="right" vertical="center"/>
    </xf>
    <xf numFmtId="3" fontId="8" fillId="0" borderId="33" xfId="1" applyNumberFormat="1" applyFont="1" applyBorder="1" applyAlignment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0" fontId="7" fillId="0" borderId="54" xfId="1" applyFont="1" applyBorder="1" applyAlignment="1">
      <alignment horizontal="center" vertical="center"/>
    </xf>
    <xf numFmtId="49" fontId="8" fillId="6" borderId="55" xfId="1" applyNumberFormat="1" applyFont="1" applyFill="1" applyBorder="1" applyAlignment="1">
      <alignment horizontal="center" vertical="center" wrapText="1"/>
    </xf>
    <xf numFmtId="3" fontId="7" fillId="0" borderId="30" xfId="1" applyNumberFormat="1" applyFont="1" applyBorder="1" applyAlignment="1">
      <alignment horizontal="right" vertical="center"/>
    </xf>
    <xf numFmtId="3" fontId="7" fillId="0" borderId="54" xfId="1" applyNumberFormat="1" applyFont="1" applyBorder="1" applyAlignment="1">
      <alignment horizontal="right" vertical="center"/>
    </xf>
    <xf numFmtId="3" fontId="7" fillId="0" borderId="53" xfId="1" applyNumberFormat="1" applyFont="1" applyBorder="1" applyAlignment="1">
      <alignment vertical="center"/>
    </xf>
    <xf numFmtId="0" fontId="7" fillId="0" borderId="28" xfId="1" applyFont="1" applyBorder="1" applyAlignment="1">
      <alignment horizontal="center" vertical="center"/>
    </xf>
    <xf numFmtId="49" fontId="8" fillId="6" borderId="47" xfId="1" applyNumberFormat="1" applyFont="1" applyFill="1" applyBorder="1" applyAlignment="1">
      <alignment horizontal="center" vertical="center" wrapText="1"/>
    </xf>
    <xf numFmtId="3" fontId="7" fillId="0" borderId="32" xfId="1" applyNumberFormat="1" applyFont="1" applyBorder="1" applyAlignment="1">
      <alignment horizontal="right" vertical="center"/>
    </xf>
    <xf numFmtId="3" fontId="7" fillId="0" borderId="47" xfId="1" applyNumberFormat="1" applyFont="1" applyBorder="1" applyAlignment="1">
      <alignment vertical="center"/>
    </xf>
    <xf numFmtId="0" fontId="7" fillId="0" borderId="32" xfId="1" applyFont="1" applyBorder="1" applyAlignment="1">
      <alignment horizontal="center" vertical="center"/>
    </xf>
    <xf numFmtId="49" fontId="8" fillId="6" borderId="23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right" vertical="center"/>
    </xf>
    <xf numFmtId="3" fontId="11" fillId="2" borderId="1" xfId="1" applyNumberFormat="1" applyFont="1" applyFill="1" applyBorder="1" applyAlignment="1">
      <alignment horizontal="right" vertical="center"/>
    </xf>
    <xf numFmtId="3" fontId="11" fillId="2" borderId="34" xfId="1" applyNumberFormat="1" applyFont="1" applyFill="1" applyBorder="1" applyAlignment="1">
      <alignment horizontal="right" vertical="center"/>
    </xf>
    <xf numFmtId="3" fontId="11" fillId="2" borderId="4" xfId="1" applyNumberFormat="1" applyFont="1" applyFill="1" applyBorder="1" applyAlignment="1">
      <alignment horizontal="right" vertical="center"/>
    </xf>
    <xf numFmtId="49" fontId="23" fillId="0" borderId="0" xfId="1" applyNumberFormat="1" applyFont="1" applyBorder="1" applyAlignment="1">
      <alignment horizontal="center" vertical="top"/>
    </xf>
    <xf numFmtId="49" fontId="22" fillId="0" borderId="0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3" fontId="26" fillId="0" borderId="0" xfId="1" applyNumberFormat="1" applyFont="1" applyBorder="1" applyAlignment="1">
      <alignment horizontal="right" vertical="center"/>
    </xf>
    <xf numFmtId="3" fontId="18" fillId="0" borderId="0" xfId="1" applyNumberFormat="1" applyFont="1" applyBorder="1" applyAlignment="1">
      <alignment horizontal="center" vertical="center"/>
    </xf>
    <xf numFmtId="49" fontId="23" fillId="0" borderId="0" xfId="1" applyNumberFormat="1" applyFont="1" applyAlignment="1">
      <alignment horizontal="center" vertical="top"/>
    </xf>
    <xf numFmtId="0" fontId="18" fillId="0" borderId="0" xfId="1" applyFont="1" applyAlignment="1">
      <alignment horizontal="center" vertical="center"/>
    </xf>
    <xf numFmtId="0" fontId="8" fillId="0" borderId="60" xfId="1" applyFont="1" applyFill="1" applyBorder="1" applyAlignment="1">
      <alignment horizontal="center" vertical="center" wrapText="1"/>
    </xf>
    <xf numFmtId="3" fontId="8" fillId="0" borderId="60" xfId="1" applyNumberFormat="1" applyFont="1" applyFill="1" applyBorder="1" applyAlignment="1">
      <alignment horizontal="right" vertical="center"/>
    </xf>
    <xf numFmtId="3" fontId="8" fillId="0" borderId="59" xfId="1" applyNumberFormat="1" applyFont="1" applyFill="1" applyBorder="1" applyAlignment="1">
      <alignment horizontal="right" vertical="center"/>
    </xf>
    <xf numFmtId="49" fontId="11" fillId="0" borderId="61" xfId="1" applyNumberFormat="1" applyFont="1" applyFill="1" applyBorder="1" applyAlignment="1">
      <alignment horizontal="center" vertical="center"/>
    </xf>
    <xf numFmtId="0" fontId="11" fillId="0" borderId="61" xfId="1" applyFont="1" applyFill="1" applyBorder="1" applyAlignment="1">
      <alignment horizontal="center" vertical="center" wrapText="1"/>
    </xf>
    <xf numFmtId="0" fontId="11" fillId="6" borderId="60" xfId="1" applyFont="1" applyFill="1" applyBorder="1" applyAlignment="1">
      <alignment horizontal="center" vertical="center"/>
    </xf>
    <xf numFmtId="3" fontId="11" fillId="6" borderId="60" xfId="1" applyNumberFormat="1" applyFont="1" applyFill="1" applyBorder="1" applyAlignment="1">
      <alignment horizontal="right" vertical="center"/>
    </xf>
    <xf numFmtId="3" fontId="11" fillId="6" borderId="59" xfId="1" applyNumberFormat="1" applyFont="1" applyFill="1" applyBorder="1" applyAlignment="1">
      <alignment horizontal="right" vertical="center"/>
    </xf>
    <xf numFmtId="0" fontId="11" fillId="0" borderId="60" xfId="1" applyFont="1" applyFill="1" applyBorder="1" applyAlignment="1">
      <alignment horizontal="center" vertical="center" wrapText="1"/>
    </xf>
    <xf numFmtId="3" fontId="11" fillId="0" borderId="60" xfId="1" applyNumberFormat="1" applyFont="1" applyFill="1" applyBorder="1" applyAlignment="1">
      <alignment horizontal="right" vertical="center"/>
    </xf>
    <xf numFmtId="3" fontId="11" fillId="0" borderId="59" xfId="1" applyNumberFormat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5" fillId="0" borderId="0" xfId="1"/>
    <xf numFmtId="0" fontId="7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right" vertical="center" wrapText="1"/>
    </xf>
    <xf numFmtId="0" fontId="28" fillId="2" borderId="4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8" fillId="0" borderId="29" xfId="1" applyFont="1" applyBorder="1" applyAlignment="1">
      <alignment horizontal="center" vertical="center"/>
    </xf>
    <xf numFmtId="49" fontId="28" fillId="0" borderId="65" xfId="1" applyNumberFormat="1" applyFont="1" applyFill="1" applyBorder="1" applyAlignment="1">
      <alignment horizontal="center" vertical="center"/>
    </xf>
    <xf numFmtId="0" fontId="29" fillId="0" borderId="66" xfId="1" applyNumberFormat="1" applyFont="1" applyFill="1" applyBorder="1" applyAlignment="1">
      <alignment horizontal="center" vertical="center" wrapText="1"/>
    </xf>
    <xf numFmtId="3" fontId="29" fillId="0" borderId="2" xfId="1" applyNumberFormat="1" applyFont="1" applyFill="1" applyBorder="1" applyAlignment="1">
      <alignment horizontal="right" vertical="center" wrapText="1"/>
    </xf>
    <xf numFmtId="3" fontId="29" fillId="0" borderId="67" xfId="1" applyNumberFormat="1" applyFont="1" applyFill="1" applyBorder="1" applyAlignment="1">
      <alignment horizontal="right" vertical="center" wrapText="1"/>
    </xf>
    <xf numFmtId="3" fontId="29" fillId="0" borderId="65" xfId="1" applyNumberFormat="1" applyFont="1" applyFill="1" applyBorder="1" applyAlignment="1">
      <alignment horizontal="right" vertical="center" wrapText="1"/>
    </xf>
    <xf numFmtId="0" fontId="29" fillId="0" borderId="65" xfId="1" applyFont="1" applyFill="1" applyBorder="1" applyAlignment="1">
      <alignment horizontal="left" vertical="center" wrapText="1"/>
    </xf>
    <xf numFmtId="0" fontId="28" fillId="0" borderId="3" xfId="1" applyFont="1" applyBorder="1" applyAlignment="1">
      <alignment horizontal="center" vertical="center"/>
    </xf>
    <xf numFmtId="49" fontId="28" fillId="0" borderId="1" xfId="1" applyNumberFormat="1" applyFont="1" applyFill="1" applyBorder="1" applyAlignment="1">
      <alignment horizontal="center" vertical="center"/>
    </xf>
    <xf numFmtId="0" fontId="29" fillId="0" borderId="4" xfId="1" applyNumberFormat="1" applyFont="1" applyFill="1" applyBorder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0" fontId="29" fillId="0" borderId="1" xfId="1" applyFont="1" applyFill="1" applyBorder="1" applyAlignment="1">
      <alignment horizontal="left" vertical="center" wrapText="1"/>
    </xf>
    <xf numFmtId="0" fontId="28" fillId="0" borderId="9" xfId="1" applyFont="1" applyBorder="1" applyAlignment="1">
      <alignment horizontal="center" vertical="center"/>
    </xf>
    <xf numFmtId="0" fontId="29" fillId="0" borderId="68" xfId="1" applyNumberFormat="1" applyFont="1" applyBorder="1" applyAlignment="1">
      <alignment horizontal="center" vertical="center" wrapText="1"/>
    </xf>
    <xf numFmtId="3" fontId="29" fillId="0" borderId="9" xfId="1" applyNumberFormat="1" applyFont="1" applyFill="1" applyBorder="1" applyAlignment="1">
      <alignment horizontal="right" vertical="center" wrapText="1"/>
    </xf>
    <xf numFmtId="3" fontId="29" fillId="4" borderId="69" xfId="1" applyNumberFormat="1" applyFont="1" applyFill="1" applyBorder="1" applyAlignment="1">
      <alignment horizontal="right" vertical="center" wrapText="1"/>
    </xf>
    <xf numFmtId="3" fontId="29" fillId="0" borderId="9" xfId="1" applyNumberFormat="1" applyFont="1" applyBorder="1" applyAlignment="1">
      <alignment horizontal="right" vertical="center" wrapText="1"/>
    </xf>
    <xf numFmtId="0" fontId="29" fillId="0" borderId="9" xfId="1" applyFont="1" applyBorder="1" applyAlignment="1">
      <alignment horizontal="left" vertical="center" wrapText="1"/>
    </xf>
    <xf numFmtId="49" fontId="28" fillId="0" borderId="2" xfId="1" applyNumberFormat="1" applyFont="1" applyBorder="1" applyAlignment="1">
      <alignment horizontal="center" vertical="center"/>
    </xf>
    <xf numFmtId="0" fontId="29" fillId="0" borderId="70" xfId="1" applyNumberFormat="1" applyFont="1" applyFill="1" applyBorder="1" applyAlignment="1">
      <alignment horizontal="center" vertical="center"/>
    </xf>
    <xf numFmtId="3" fontId="29" fillId="4" borderId="17" xfId="1" applyNumberFormat="1" applyFont="1" applyFill="1" applyBorder="1" applyAlignment="1">
      <alignment horizontal="right" vertical="center"/>
    </xf>
    <xf numFmtId="3" fontId="29" fillId="0" borderId="2" xfId="1" applyNumberFormat="1" applyFont="1" applyFill="1" applyBorder="1" applyAlignment="1">
      <alignment horizontal="right" vertical="center"/>
    </xf>
    <xf numFmtId="0" fontId="29" fillId="0" borderId="2" xfId="1" applyFont="1" applyBorder="1" applyAlignment="1">
      <alignment horizontal="left" vertical="center" wrapText="1"/>
    </xf>
    <xf numFmtId="49" fontId="28" fillId="0" borderId="71" xfId="1" applyNumberFormat="1" applyFont="1" applyBorder="1" applyAlignment="1">
      <alignment horizontal="center" vertical="center"/>
    </xf>
    <xf numFmtId="0" fontId="29" fillId="0" borderId="72" xfId="1" applyNumberFormat="1" applyFont="1" applyFill="1" applyBorder="1" applyAlignment="1">
      <alignment horizontal="center" vertical="center"/>
    </xf>
    <xf numFmtId="3" fontId="29" fillId="0" borderId="71" xfId="1" applyNumberFormat="1" applyFont="1" applyFill="1" applyBorder="1" applyAlignment="1">
      <alignment horizontal="right" vertical="center" wrapText="1"/>
    </xf>
    <xf numFmtId="3" fontId="29" fillId="4" borderId="20" xfId="1" applyNumberFormat="1" applyFont="1" applyFill="1" applyBorder="1" applyAlignment="1">
      <alignment horizontal="right" vertical="center"/>
    </xf>
    <xf numFmtId="3" fontId="29" fillId="0" borderId="71" xfId="1" applyNumberFormat="1" applyFont="1" applyFill="1" applyBorder="1" applyAlignment="1">
      <alignment horizontal="right" vertical="center"/>
    </xf>
    <xf numFmtId="0" fontId="29" fillId="0" borderId="71" xfId="1" applyFont="1" applyBorder="1" applyAlignment="1">
      <alignment vertical="center" wrapText="1"/>
    </xf>
    <xf numFmtId="49" fontId="28" fillId="0" borderId="6" xfId="1" applyNumberFormat="1" applyFont="1" applyBorder="1" applyAlignment="1">
      <alignment horizontal="center" vertical="center"/>
    </xf>
    <xf numFmtId="0" fontId="29" fillId="0" borderId="73" xfId="1" applyNumberFormat="1" applyFont="1" applyFill="1" applyBorder="1" applyAlignment="1">
      <alignment horizontal="center" vertical="center"/>
    </xf>
    <xf numFmtId="3" fontId="29" fillId="0" borderId="6" xfId="1" applyNumberFormat="1" applyFont="1" applyFill="1" applyBorder="1" applyAlignment="1">
      <alignment horizontal="right" vertical="center" wrapText="1"/>
    </xf>
    <xf numFmtId="3" fontId="29" fillId="4" borderId="10" xfId="1" applyNumberFormat="1" applyFont="1" applyFill="1" applyBorder="1" applyAlignment="1">
      <alignment horizontal="right" vertical="center"/>
    </xf>
    <xf numFmtId="3" fontId="29" fillId="0" borderId="6" xfId="1" applyNumberFormat="1" applyFont="1" applyFill="1" applyBorder="1" applyAlignment="1">
      <alignment horizontal="right" vertical="center"/>
    </xf>
    <xf numFmtId="0" fontId="29" fillId="0" borderId="6" xfId="1" applyFont="1" applyBorder="1" applyAlignment="1">
      <alignment vertical="center" wrapText="1"/>
    </xf>
    <xf numFmtId="0" fontId="29" fillId="0" borderId="2" xfId="1" applyFont="1" applyBorder="1" applyAlignment="1">
      <alignment vertical="center" wrapText="1"/>
    </xf>
    <xf numFmtId="49" fontId="28" fillId="0" borderId="65" xfId="1" applyNumberFormat="1" applyFont="1" applyBorder="1" applyAlignment="1">
      <alignment horizontal="center" vertical="center"/>
    </xf>
    <xf numFmtId="0" fontId="29" fillId="0" borderId="66" xfId="1" applyNumberFormat="1" applyFont="1" applyFill="1" applyBorder="1" applyAlignment="1">
      <alignment horizontal="center" vertical="center"/>
    </xf>
    <xf numFmtId="3" fontId="29" fillId="4" borderId="67" xfId="1" applyNumberFormat="1" applyFont="1" applyFill="1" applyBorder="1" applyAlignment="1">
      <alignment horizontal="right" vertical="center"/>
    </xf>
    <xf numFmtId="3" fontId="29" fillId="0" borderId="65" xfId="1" applyNumberFormat="1" applyFont="1" applyFill="1" applyBorder="1" applyAlignment="1">
      <alignment horizontal="right" vertical="center"/>
    </xf>
    <xf numFmtId="0" fontId="29" fillId="0" borderId="65" xfId="1" applyFont="1" applyBorder="1" applyAlignment="1">
      <alignment vertical="center" wrapText="1"/>
    </xf>
    <xf numFmtId="49" fontId="28" fillId="0" borderId="1" xfId="1" applyNumberFormat="1" applyFont="1" applyBorder="1" applyAlignment="1">
      <alignment horizontal="center" vertical="center"/>
    </xf>
    <xf numFmtId="0" fontId="29" fillId="0" borderId="4" xfId="1" applyNumberFormat="1" applyFont="1" applyFill="1" applyBorder="1" applyAlignment="1">
      <alignment horizontal="center" vertical="center"/>
    </xf>
    <xf numFmtId="3" fontId="29" fillId="4" borderId="5" xfId="1" applyNumberFormat="1" applyFont="1" applyFill="1" applyBorder="1" applyAlignment="1">
      <alignment horizontal="right" vertical="center"/>
    </xf>
    <xf numFmtId="3" fontId="29" fillId="0" borderId="1" xfId="1" applyNumberFormat="1" applyFont="1" applyFill="1" applyBorder="1" applyAlignment="1">
      <alignment horizontal="right" vertical="center"/>
    </xf>
    <xf numFmtId="0" fontId="29" fillId="0" borderId="1" xfId="1" applyFont="1" applyBorder="1" applyAlignment="1">
      <alignment vertical="center" wrapText="1"/>
    </xf>
    <xf numFmtId="0" fontId="28" fillId="0" borderId="76" xfId="1" applyFont="1" applyBorder="1" applyAlignment="1">
      <alignment horizontal="center" vertical="center"/>
    </xf>
    <xf numFmtId="49" fontId="28" fillId="0" borderId="7" xfId="1" applyNumberFormat="1" applyFont="1" applyBorder="1" applyAlignment="1">
      <alignment horizontal="center" vertical="center"/>
    </xf>
    <xf numFmtId="49" fontId="28" fillId="0" borderId="9" xfId="1" applyNumberFormat="1" applyFont="1" applyBorder="1" applyAlignment="1">
      <alignment horizontal="center" vertical="center"/>
    </xf>
    <xf numFmtId="0" fontId="29" fillId="0" borderId="68" xfId="1" applyNumberFormat="1" applyFont="1" applyFill="1" applyBorder="1" applyAlignment="1">
      <alignment horizontal="center" vertical="center"/>
    </xf>
    <xf numFmtId="3" fontId="29" fillId="4" borderId="69" xfId="1" applyNumberFormat="1" applyFont="1" applyFill="1" applyBorder="1" applyAlignment="1">
      <alignment horizontal="right" vertical="center"/>
    </xf>
    <xf numFmtId="3" fontId="29" fillId="0" borderId="9" xfId="1" applyNumberFormat="1" applyFont="1" applyFill="1" applyBorder="1" applyAlignment="1">
      <alignment horizontal="right" vertical="center"/>
    </xf>
    <xf numFmtId="0" fontId="29" fillId="0" borderId="9" xfId="1" applyFont="1" applyBorder="1" applyAlignment="1">
      <alignment vertical="center" wrapText="1"/>
    </xf>
    <xf numFmtId="0" fontId="29" fillId="0" borderId="70" xfId="1" applyNumberFormat="1" applyFont="1" applyBorder="1" applyAlignment="1">
      <alignment horizontal="center" vertical="center"/>
    </xf>
    <xf numFmtId="3" fontId="29" fillId="0" borderId="2" xfId="1" applyNumberFormat="1" applyFont="1" applyBorder="1" applyAlignment="1">
      <alignment horizontal="right" vertical="center"/>
    </xf>
    <xf numFmtId="0" fontId="29" fillId="0" borderId="66" xfId="1" applyNumberFormat="1" applyFont="1" applyBorder="1" applyAlignment="1">
      <alignment horizontal="center" vertical="center"/>
    </xf>
    <xf numFmtId="3" fontId="29" fillId="0" borderId="65" xfId="1" applyNumberFormat="1" applyFont="1" applyBorder="1" applyAlignment="1">
      <alignment horizontal="right" vertical="center"/>
    </xf>
    <xf numFmtId="3" fontId="28" fillId="3" borderId="1" xfId="1" applyNumberFormat="1" applyFont="1" applyFill="1" applyBorder="1" applyAlignment="1">
      <alignment horizontal="center" vertical="center" wrapText="1"/>
    </xf>
    <xf numFmtId="3" fontId="28" fillId="3" borderId="5" xfId="1" applyNumberFormat="1" applyFont="1" applyFill="1" applyBorder="1" applyAlignment="1">
      <alignment horizontal="right" vertical="center"/>
    </xf>
    <xf numFmtId="3" fontId="28" fillId="3" borderId="1" xfId="1" applyNumberFormat="1" applyFont="1" applyFill="1" applyBorder="1" applyAlignment="1">
      <alignment horizontal="right" vertical="center"/>
    </xf>
    <xf numFmtId="0" fontId="30" fillId="3" borderId="1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4" fontId="18" fillId="0" borderId="0" xfId="1" applyNumberFormat="1" applyFont="1" applyAlignment="1">
      <alignment horizontal="center" vertical="center"/>
    </xf>
    <xf numFmtId="4" fontId="18" fillId="0" borderId="0" xfId="1" applyNumberFormat="1" applyFont="1" applyAlignment="1">
      <alignment horizontal="right" vertical="center"/>
    </xf>
    <xf numFmtId="49" fontId="18" fillId="0" borderId="0" xfId="1" applyNumberFormat="1" applyFont="1" applyAlignment="1">
      <alignment horizontal="center"/>
    </xf>
    <xf numFmtId="3" fontId="18" fillId="0" borderId="0" xfId="1" applyNumberFormat="1" applyFont="1" applyAlignment="1">
      <alignment horizontal="right"/>
    </xf>
    <xf numFmtId="0" fontId="18" fillId="0" borderId="0" xfId="1" applyFont="1"/>
    <xf numFmtId="0" fontId="18" fillId="0" borderId="0" xfId="1" applyFont="1" applyAlignment="1">
      <alignment horizontal="center"/>
    </xf>
    <xf numFmtId="49" fontId="5" fillId="0" borderId="0" xfId="1" applyNumberFormat="1" applyAlignment="1">
      <alignment horizontal="center" vertical="center"/>
    </xf>
    <xf numFmtId="0" fontId="5" fillId="0" borderId="0" xfId="1" applyAlignment="1">
      <alignment horizontal="center"/>
    </xf>
    <xf numFmtId="0" fontId="16" fillId="0" borderId="0" xfId="1" applyFont="1" applyAlignment="1">
      <alignment wrapText="1"/>
    </xf>
    <xf numFmtId="0" fontId="11" fillId="0" borderId="0" xfId="1" applyFont="1" applyAlignment="1">
      <alignment horizontal="center" vertical="center" wrapText="1"/>
    </xf>
    <xf numFmtId="0" fontId="17" fillId="0" borderId="0" xfId="1" applyFont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3" fontId="28" fillId="9" borderId="1" xfId="1" applyNumberFormat="1" applyFont="1" applyFill="1" applyBorder="1" applyAlignment="1">
      <alignment horizontal="right" vertical="center"/>
    </xf>
    <xf numFmtId="3" fontId="28" fillId="9" borderId="5" xfId="1" applyNumberFormat="1" applyFont="1" applyFill="1" applyBorder="1" applyAlignment="1">
      <alignment horizontal="right" vertical="center"/>
    </xf>
    <xf numFmtId="3" fontId="28" fillId="9" borderId="34" xfId="1" applyNumberFormat="1" applyFont="1" applyFill="1" applyBorder="1" applyAlignment="1">
      <alignment horizontal="right" vertical="center"/>
    </xf>
    <xf numFmtId="3" fontId="9" fillId="9" borderId="1" xfId="1" applyNumberFormat="1" applyFont="1" applyFill="1" applyBorder="1" applyAlignment="1">
      <alignment horizontal="right" vertical="center"/>
    </xf>
    <xf numFmtId="0" fontId="7" fillId="9" borderId="1" xfId="1" applyFont="1" applyFill="1" applyBorder="1"/>
    <xf numFmtId="3" fontId="5" fillId="0" borderId="0" xfId="1" applyNumberFormat="1" applyFont="1"/>
    <xf numFmtId="0" fontId="5" fillId="0" borderId="0" xfId="1" applyFont="1"/>
    <xf numFmtId="0" fontId="29" fillId="4" borderId="38" xfId="1" applyFont="1" applyFill="1" applyBorder="1" applyAlignment="1">
      <alignment horizontal="center" vertical="center" wrapText="1"/>
    </xf>
    <xf numFmtId="0" fontId="29" fillId="4" borderId="40" xfId="1" applyFont="1" applyFill="1" applyBorder="1" applyAlignment="1">
      <alignment horizontal="center" vertical="center" wrapText="1"/>
    </xf>
    <xf numFmtId="1" fontId="29" fillId="4" borderId="2" xfId="1" applyNumberFormat="1" applyFont="1" applyFill="1" applyBorder="1" applyAlignment="1">
      <alignment horizontal="center" vertical="center"/>
    </xf>
    <xf numFmtId="3" fontId="29" fillId="4" borderId="38" xfId="1" applyNumberFormat="1" applyFont="1" applyFill="1" applyBorder="1" applyAlignment="1">
      <alignment horizontal="right" vertical="center"/>
    </xf>
    <xf numFmtId="3" fontId="29" fillId="4" borderId="0" xfId="1" applyNumberFormat="1" applyFont="1" applyFill="1" applyBorder="1" applyAlignment="1">
      <alignment horizontal="right" vertical="center"/>
    </xf>
    <xf numFmtId="3" fontId="29" fillId="4" borderId="7" xfId="1" applyNumberFormat="1" applyFont="1" applyFill="1" applyBorder="1" applyAlignment="1">
      <alignment horizontal="center" vertical="center" wrapText="1"/>
    </xf>
    <xf numFmtId="0" fontId="29" fillId="4" borderId="7" xfId="1" applyFont="1" applyFill="1" applyBorder="1" applyAlignment="1">
      <alignment vertical="center" wrapText="1"/>
    </xf>
    <xf numFmtId="0" fontId="5" fillId="4" borderId="0" xfId="1" applyFont="1" applyFill="1"/>
    <xf numFmtId="49" fontId="29" fillId="0" borderId="58" xfId="1" applyNumberFormat="1" applyFont="1" applyBorder="1" applyAlignment="1">
      <alignment horizontal="center" vertical="center"/>
    </xf>
    <xf numFmtId="49" fontId="29" fillId="0" borderId="59" xfId="1" applyNumberFormat="1" applyFont="1" applyBorder="1" applyAlignment="1">
      <alignment horizontal="center" vertical="center" wrapText="1"/>
    </xf>
    <xf numFmtId="3" fontId="29" fillId="0" borderId="21" xfId="1" applyNumberFormat="1" applyFont="1" applyBorder="1" applyAlignment="1">
      <alignment horizontal="right" vertical="center"/>
    </xf>
    <xf numFmtId="3" fontId="29" fillId="0" borderId="60" xfId="1" applyNumberFormat="1" applyFont="1" applyBorder="1" applyAlignment="1">
      <alignment horizontal="right" vertical="center"/>
    </xf>
    <xf numFmtId="3" fontId="29" fillId="0" borderId="27" xfId="1" applyNumberFormat="1" applyFont="1" applyBorder="1" applyAlignment="1">
      <alignment horizontal="right" vertical="center"/>
    </xf>
    <xf numFmtId="3" fontId="29" fillId="0" borderId="71" xfId="1" applyNumberFormat="1" applyFont="1" applyBorder="1" applyAlignment="1">
      <alignment horizontal="center" vertical="center" wrapText="1"/>
    </xf>
    <xf numFmtId="0" fontId="29" fillId="0" borderId="71" xfId="1" applyFont="1" applyBorder="1" applyAlignment="1">
      <alignment horizontal="left" vertical="center" wrapText="1"/>
    </xf>
    <xf numFmtId="49" fontId="29" fillId="0" borderId="38" xfId="1" applyNumberFormat="1" applyFont="1" applyBorder="1" applyAlignment="1">
      <alignment horizontal="center" vertical="center"/>
    </xf>
    <xf numFmtId="49" fontId="29" fillId="0" borderId="40" xfId="1" applyNumberFormat="1" applyFont="1" applyBorder="1" applyAlignment="1">
      <alignment horizontal="center" vertical="center" wrapText="1"/>
    </xf>
    <xf numFmtId="3" fontId="29" fillId="0" borderId="28" xfId="1" applyNumberFormat="1" applyFont="1" applyBorder="1" applyAlignment="1">
      <alignment horizontal="right" vertical="center"/>
    </xf>
    <xf numFmtId="3" fontId="29" fillId="0" borderId="32" xfId="1" applyNumberFormat="1" applyFont="1" applyBorder="1" applyAlignment="1">
      <alignment horizontal="right" vertical="center"/>
    </xf>
    <xf numFmtId="3" fontId="29" fillId="0" borderId="67" xfId="1" applyNumberFormat="1" applyFont="1" applyBorder="1" applyAlignment="1">
      <alignment horizontal="right" vertical="center"/>
    </xf>
    <xf numFmtId="3" fontId="29" fillId="0" borderId="65" xfId="1" applyNumberFormat="1" applyFont="1" applyBorder="1" applyAlignment="1">
      <alignment horizontal="center" vertical="center" wrapText="1"/>
    </xf>
    <xf numFmtId="0" fontId="29" fillId="0" borderId="65" xfId="1" applyFont="1" applyBorder="1" applyAlignment="1">
      <alignment horizontal="left" vertical="center" wrapText="1"/>
    </xf>
    <xf numFmtId="0" fontId="28" fillId="2" borderId="6" xfId="1" applyNumberFormat="1" applyFont="1" applyFill="1" applyBorder="1" applyAlignment="1">
      <alignment horizontal="center" vertical="center"/>
    </xf>
    <xf numFmtId="3" fontId="28" fillId="2" borderId="10" xfId="1" applyNumberFormat="1" applyFont="1" applyFill="1" applyBorder="1" applyAlignment="1">
      <alignment horizontal="right" vertical="center"/>
    </xf>
    <xf numFmtId="3" fontId="28" fillId="2" borderId="1" xfId="1" applyNumberFormat="1" applyFont="1" applyFill="1" applyBorder="1" applyAlignment="1">
      <alignment horizontal="right" vertical="center"/>
    </xf>
    <xf numFmtId="3" fontId="28" fillId="2" borderId="6" xfId="1" applyNumberFormat="1" applyFont="1" applyFill="1" applyBorder="1" applyAlignment="1">
      <alignment horizontal="center" vertical="center" wrapText="1"/>
    </xf>
    <xf numFmtId="0" fontId="28" fillId="2" borderId="6" xfId="1" applyFont="1" applyFill="1" applyBorder="1" applyAlignment="1">
      <alignment horizontal="left" vertical="center" wrapText="1"/>
    </xf>
    <xf numFmtId="0" fontId="32" fillId="0" borderId="0" xfId="1" applyFont="1"/>
    <xf numFmtId="49" fontId="29" fillId="0" borderId="75" xfId="1" applyNumberFormat="1" applyFont="1" applyBorder="1" applyAlignment="1">
      <alignment horizontal="center" vertical="center"/>
    </xf>
    <xf numFmtId="49" fontId="29" fillId="0" borderId="42" xfId="1" applyNumberFormat="1" applyFont="1" applyBorder="1" applyAlignment="1">
      <alignment horizontal="center" vertical="center" wrapText="1"/>
    </xf>
    <xf numFmtId="0" fontId="29" fillId="0" borderId="6" xfId="1" applyNumberFormat="1" applyFont="1" applyBorder="1" applyAlignment="1">
      <alignment horizontal="center" vertical="center"/>
    </xf>
    <xf numFmtId="3" fontId="29" fillId="0" borderId="35" xfId="1" applyNumberFormat="1" applyFont="1" applyBorder="1" applyAlignment="1">
      <alignment horizontal="right" vertical="center"/>
    </xf>
    <xf numFmtId="3" fontId="29" fillId="0" borderId="10" xfId="1" applyNumberFormat="1" applyFont="1" applyBorder="1" applyAlignment="1">
      <alignment horizontal="right" vertical="center"/>
    </xf>
    <xf numFmtId="3" fontId="29" fillId="0" borderId="6" xfId="1" applyNumberFormat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left" vertical="center" wrapText="1"/>
    </xf>
    <xf numFmtId="3" fontId="21" fillId="3" borderId="1" xfId="1" applyNumberFormat="1" applyFont="1" applyFill="1" applyBorder="1" applyAlignment="1">
      <alignment horizontal="right" vertical="center"/>
    </xf>
    <xf numFmtId="3" fontId="21" fillId="3" borderId="4" xfId="1" applyNumberFormat="1" applyFont="1" applyFill="1" applyBorder="1" applyAlignment="1">
      <alignment horizontal="right" vertical="center"/>
    </xf>
    <xf numFmtId="0" fontId="24" fillId="3" borderId="1" xfId="1" applyFont="1" applyFill="1" applyBorder="1" applyAlignment="1">
      <alignment horizontal="center" vertical="center" wrapText="1"/>
    </xf>
    <xf numFmtId="0" fontId="33" fillId="0" borderId="0" xfId="1" applyFont="1"/>
    <xf numFmtId="0" fontId="7" fillId="0" borderId="0" xfId="1" applyFont="1"/>
    <xf numFmtId="0" fontId="28" fillId="8" borderId="1" xfId="1" applyFont="1" applyFill="1" applyBorder="1" applyAlignment="1">
      <alignment horizontal="center" vertical="center"/>
    </xf>
    <xf numFmtId="3" fontId="28" fillId="8" borderId="1" xfId="1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7" fillId="0" borderId="77" xfId="1" applyFont="1" applyBorder="1" applyAlignment="1">
      <alignment vertical="center" wrapText="1"/>
    </xf>
    <xf numFmtId="3" fontId="7" fillId="0" borderId="16" xfId="4" applyNumberFormat="1" applyFont="1" applyBorder="1" applyAlignment="1">
      <alignment vertical="center"/>
    </xf>
    <xf numFmtId="0" fontId="11" fillId="0" borderId="71" xfId="1" applyFont="1" applyBorder="1" applyAlignment="1">
      <alignment horizontal="center" vertical="center"/>
    </xf>
    <xf numFmtId="0" fontId="7" fillId="0" borderId="20" xfId="1" applyFont="1" applyBorder="1" applyAlignment="1">
      <alignment vertical="center" wrapText="1"/>
    </xf>
    <xf numFmtId="3" fontId="7" fillId="0" borderId="72" xfId="4" applyNumberFormat="1" applyFont="1" applyBorder="1" applyAlignment="1">
      <alignment vertical="center"/>
    </xf>
    <xf numFmtId="3" fontId="7" fillId="0" borderId="72" xfId="4" applyNumberFormat="1" applyFont="1" applyFill="1" applyBorder="1" applyAlignment="1">
      <alignment vertical="center"/>
    </xf>
    <xf numFmtId="0" fontId="11" fillId="0" borderId="30" xfId="1" applyFont="1" applyBorder="1" applyAlignment="1">
      <alignment horizontal="center" vertical="center"/>
    </xf>
    <xf numFmtId="0" fontId="7" fillId="0" borderId="12" xfId="1" applyFont="1" applyBorder="1" applyAlignment="1">
      <alignment vertical="center" wrapText="1"/>
    </xf>
    <xf numFmtId="3" fontId="7" fillId="0" borderId="78" xfId="1" applyNumberFormat="1" applyFont="1" applyFill="1" applyBorder="1" applyAlignment="1">
      <alignment vertical="center"/>
    </xf>
    <xf numFmtId="0" fontId="11" fillId="0" borderId="79" xfId="1" applyFont="1" applyBorder="1" applyAlignment="1">
      <alignment horizontal="center" vertical="center"/>
    </xf>
    <xf numFmtId="0" fontId="7" fillId="0" borderId="30" xfId="1" applyFont="1" applyBorder="1" applyAlignment="1">
      <alignment vertical="center" wrapText="1"/>
    </xf>
    <xf numFmtId="0" fontId="11" fillId="0" borderId="29" xfId="1" applyFont="1" applyBorder="1" applyAlignment="1">
      <alignment horizontal="center" vertical="center"/>
    </xf>
    <xf numFmtId="0" fontId="7" fillId="0" borderId="65" xfId="1" applyFont="1" applyBorder="1" applyAlignment="1">
      <alignment vertical="center" wrapText="1"/>
    </xf>
    <xf numFmtId="3" fontId="7" fillId="0" borderId="65" xfId="1" applyNumberFormat="1" applyFont="1" applyFill="1" applyBorder="1" applyAlignment="1">
      <alignment vertical="center"/>
    </xf>
    <xf numFmtId="0" fontId="11" fillId="3" borderId="5" xfId="1" applyFont="1" applyFill="1" applyBorder="1" applyAlignment="1">
      <alignment horizontal="center" vertical="center"/>
    </xf>
    <xf numFmtId="3" fontId="11" fillId="3" borderId="4" xfId="1" applyNumberFormat="1" applyFont="1" applyFill="1" applyBorder="1" applyAlignment="1">
      <alignment vertical="center"/>
    </xf>
    <xf numFmtId="0" fontId="11" fillId="0" borderId="8" xfId="1" applyFont="1" applyBorder="1" applyAlignment="1">
      <alignment horizontal="center" vertical="center"/>
    </xf>
    <xf numFmtId="3" fontId="7" fillId="0" borderId="16" xfId="1" applyNumberFormat="1" applyFont="1" applyFill="1" applyBorder="1" applyAlignment="1">
      <alignment vertical="center"/>
    </xf>
    <xf numFmtId="3" fontId="5" fillId="0" borderId="0" xfId="1" applyNumberFormat="1"/>
    <xf numFmtId="0" fontId="7" fillId="0" borderId="77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3" fontId="7" fillId="0" borderId="72" xfId="1" applyNumberFormat="1" applyFont="1" applyFill="1" applyBorder="1" applyAlignment="1">
      <alignment vertical="center"/>
    </xf>
    <xf numFmtId="0" fontId="11" fillId="0" borderId="6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3" fontId="7" fillId="0" borderId="78" xfId="1" applyNumberFormat="1" applyFont="1" applyBorder="1" applyAlignment="1">
      <alignment vertical="center"/>
    </xf>
    <xf numFmtId="0" fontId="5" fillId="0" borderId="0" xfId="1" applyBorder="1"/>
    <xf numFmtId="0" fontId="28" fillId="2" borderId="5" xfId="1" applyFont="1" applyFill="1" applyBorder="1" applyAlignment="1">
      <alignment horizontal="center" vertical="center"/>
    </xf>
    <xf numFmtId="3" fontId="28" fillId="2" borderId="1" xfId="1" applyNumberFormat="1" applyFont="1" applyFill="1" applyBorder="1" applyAlignment="1">
      <alignment vertical="center"/>
    </xf>
    <xf numFmtId="0" fontId="11" fillId="0" borderId="80" xfId="1" applyFont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0" fontId="7" fillId="0" borderId="71" xfId="1" applyFont="1" applyBorder="1" applyAlignment="1">
      <alignment vertical="center" wrapText="1"/>
    </xf>
    <xf numFmtId="0" fontId="7" fillId="0" borderId="73" xfId="1" applyFont="1" applyBorder="1" applyAlignment="1">
      <alignment vertical="center" wrapText="1"/>
    </xf>
    <xf numFmtId="3" fontId="7" fillId="0" borderId="81" xfId="4" applyNumberFormat="1" applyFont="1" applyFill="1" applyBorder="1" applyAlignment="1">
      <alignment vertical="center"/>
    </xf>
    <xf numFmtId="0" fontId="28" fillId="3" borderId="4" xfId="1" applyFont="1" applyFill="1" applyBorder="1" applyAlignment="1">
      <alignment horizontal="center" vertical="center"/>
    </xf>
    <xf numFmtId="3" fontId="28" fillId="3" borderId="4" xfId="4" applyNumberFormat="1" applyFont="1" applyFill="1" applyBorder="1" applyAlignment="1">
      <alignment vertical="center"/>
    </xf>
    <xf numFmtId="0" fontId="34" fillId="0" borderId="0" xfId="1" applyFont="1"/>
    <xf numFmtId="0" fontId="7" fillId="0" borderId="2" xfId="1" applyFont="1" applyBorder="1" applyAlignment="1">
      <alignment vertical="center" wrapText="1"/>
    </xf>
    <xf numFmtId="0" fontId="7" fillId="0" borderId="70" xfId="1" applyFont="1" applyBorder="1" applyAlignment="1">
      <alignment horizontal="center" vertical="center"/>
    </xf>
    <xf numFmtId="3" fontId="7" fillId="0" borderId="70" xfId="4" applyNumberFormat="1" applyFont="1" applyFill="1" applyBorder="1" applyAlignment="1">
      <alignment vertical="center"/>
    </xf>
    <xf numFmtId="0" fontId="7" fillId="0" borderId="16" xfId="1" applyFont="1" applyBorder="1" applyAlignment="1">
      <alignment horizontal="center" vertical="center"/>
    </xf>
    <xf numFmtId="3" fontId="7" fillId="0" borderId="16" xfId="4" applyNumberFormat="1" applyFont="1" applyFill="1" applyBorder="1" applyAlignment="1">
      <alignment vertical="center"/>
    </xf>
    <xf numFmtId="0" fontId="7" fillId="0" borderId="73" xfId="1" applyFont="1" applyBorder="1" applyAlignment="1">
      <alignment horizontal="center" vertical="center"/>
    </xf>
    <xf numFmtId="3" fontId="7" fillId="0" borderId="73" xfId="4" applyNumberFormat="1" applyFont="1" applyFill="1" applyBorder="1" applyAlignment="1">
      <alignment vertical="center"/>
    </xf>
    <xf numFmtId="0" fontId="28" fillId="2" borderId="1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vertical="center"/>
    </xf>
    <xf numFmtId="0" fontId="28" fillId="2" borderId="9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3" fontId="21" fillId="8" borderId="73" xfId="1" applyNumberFormat="1" applyFont="1" applyFill="1" applyBorder="1" applyAlignment="1">
      <alignment horizontal="right" vertical="center"/>
    </xf>
    <xf numFmtId="0" fontId="29" fillId="0" borderId="76" xfId="1" applyFont="1" applyBorder="1"/>
    <xf numFmtId="0" fontId="29" fillId="0" borderId="0" xfId="1" applyFont="1" applyBorder="1"/>
    <xf numFmtId="0" fontId="29" fillId="0" borderId="81" xfId="1" applyFont="1" applyBorder="1"/>
    <xf numFmtId="3" fontId="28" fillId="2" borderId="1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7" fillId="0" borderId="77" xfId="1" applyFont="1" applyFill="1" applyBorder="1" applyAlignment="1">
      <alignment horizontal="left" vertical="center"/>
    </xf>
    <xf numFmtId="3" fontId="7" fillId="0" borderId="2" xfId="1" applyNumberFormat="1" applyFont="1" applyFill="1" applyBorder="1" applyAlignment="1">
      <alignment vertical="center"/>
    </xf>
    <xf numFmtId="0" fontId="11" fillId="0" borderId="71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left" vertical="center"/>
    </xf>
    <xf numFmtId="3" fontId="7" fillId="0" borderId="71" xfId="1" applyNumberFormat="1" applyFont="1" applyFill="1" applyBorder="1" applyAlignment="1">
      <alignment vertical="center"/>
    </xf>
    <xf numFmtId="0" fontId="11" fillId="0" borderId="30" xfId="1" applyFont="1" applyFill="1" applyBorder="1" applyAlignment="1">
      <alignment horizontal="center" vertical="center"/>
    </xf>
    <xf numFmtId="0" fontId="7" fillId="0" borderId="71" xfId="1" applyFont="1" applyFill="1" applyBorder="1" applyAlignment="1">
      <alignment horizontal="left" vertical="center"/>
    </xf>
    <xf numFmtId="3" fontId="7" fillId="0" borderId="30" xfId="1" applyNumberFormat="1" applyFont="1" applyFill="1" applyBorder="1" applyAlignment="1">
      <alignment vertical="center"/>
    </xf>
    <xf numFmtId="0" fontId="7" fillId="0" borderId="71" xfId="1" applyFont="1" applyFill="1" applyBorder="1" applyAlignment="1">
      <alignment horizontal="left" vertical="center" wrapText="1"/>
    </xf>
    <xf numFmtId="0" fontId="28" fillId="3" borderId="3" xfId="1" applyFont="1" applyFill="1" applyBorder="1" applyAlignment="1">
      <alignment horizontal="center" vertical="center"/>
    </xf>
    <xf numFmtId="3" fontId="28" fillId="3" borderId="1" xfId="1" applyNumberFormat="1" applyFont="1" applyFill="1" applyBorder="1" applyAlignment="1">
      <alignment vertical="center"/>
    </xf>
    <xf numFmtId="3" fontId="21" fillId="8" borderId="1" xfId="1" applyNumberFormat="1" applyFont="1" applyFill="1" applyBorder="1" applyAlignment="1">
      <alignment vertical="center"/>
    </xf>
    <xf numFmtId="4" fontId="5" fillId="0" borderId="0" xfId="1" applyNumberFormat="1"/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28" fillId="2" borderId="1" xfId="1" applyFont="1" applyFill="1" applyBorder="1" applyAlignment="1">
      <alignment horizontal="center" vertical="center" wrapText="1"/>
    </xf>
    <xf numFmtId="0" fontId="7" fillId="4" borderId="45" xfId="1" applyNumberFormat="1" applyFont="1" applyFill="1" applyBorder="1" applyAlignment="1">
      <alignment horizontal="center" vertical="center"/>
    </xf>
    <xf numFmtId="3" fontId="7" fillId="4" borderId="49" xfId="1" applyNumberFormat="1" applyFont="1" applyFill="1" applyBorder="1" applyAlignment="1">
      <alignment horizontal="right" vertical="center" wrapText="1"/>
    </xf>
    <xf numFmtId="3" fontId="7" fillId="4" borderId="44" xfId="1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7" fillId="4" borderId="74" xfId="1" applyNumberFormat="1" applyFont="1" applyFill="1" applyBorder="1" applyAlignment="1">
      <alignment horizontal="center" vertical="center"/>
    </xf>
    <xf numFmtId="3" fontId="7" fillId="4" borderId="68" xfId="1" applyNumberFormat="1" applyFont="1" applyFill="1" applyBorder="1" applyAlignment="1">
      <alignment horizontal="right" vertical="center" wrapText="1"/>
    </xf>
    <xf numFmtId="3" fontId="7" fillId="4" borderId="9" xfId="1" applyNumberFormat="1" applyFont="1" applyFill="1" applyBorder="1" applyAlignment="1">
      <alignment horizontal="left" vertical="center" wrapText="1"/>
    </xf>
    <xf numFmtId="0" fontId="7" fillId="4" borderId="75" xfId="1" applyNumberFormat="1" applyFont="1" applyFill="1" applyBorder="1" applyAlignment="1">
      <alignment horizontal="center" vertical="center"/>
    </xf>
    <xf numFmtId="3" fontId="7" fillId="4" borderId="73" xfId="1" applyNumberFormat="1" applyFont="1" applyFill="1" applyBorder="1" applyAlignment="1">
      <alignment horizontal="right" vertical="center" wrapText="1"/>
    </xf>
    <xf numFmtId="3" fontId="7" fillId="4" borderId="6" xfId="1" applyNumberFormat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3" fontId="11" fillId="4" borderId="1" xfId="1" applyNumberFormat="1" applyFont="1" applyFill="1" applyBorder="1" applyAlignment="1">
      <alignment horizontal="center" vertical="center"/>
    </xf>
    <xf numFmtId="0" fontId="7" fillId="4" borderId="34" xfId="1" applyNumberFormat="1" applyFont="1" applyFill="1" applyBorder="1" applyAlignment="1">
      <alignment horizontal="center" vertical="center"/>
    </xf>
    <xf numFmtId="3" fontId="7" fillId="4" borderId="35" xfId="1" applyNumberFormat="1" applyFont="1" applyFill="1" applyBorder="1" applyAlignment="1">
      <alignment horizontal="right" vertical="center" wrapText="1"/>
    </xf>
    <xf numFmtId="3" fontId="7" fillId="4" borderId="36" xfId="1" applyNumberFormat="1" applyFont="1" applyFill="1" applyBorder="1" applyAlignment="1">
      <alignment horizontal="right" vertical="center" wrapText="1"/>
    </xf>
    <xf numFmtId="3" fontId="7" fillId="4" borderId="1" xfId="1" applyNumberFormat="1" applyFont="1" applyFill="1" applyBorder="1" applyAlignment="1">
      <alignment horizontal="left" vertical="center" wrapText="1"/>
    </xf>
    <xf numFmtId="0" fontId="11" fillId="4" borderId="7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left" vertical="center" wrapText="1"/>
    </xf>
    <xf numFmtId="49" fontId="11" fillId="4" borderId="7" xfId="1" applyNumberFormat="1" applyFont="1" applyFill="1" applyBorder="1" applyAlignment="1">
      <alignment horizontal="center" vertical="center"/>
    </xf>
    <xf numFmtId="3" fontId="11" fillId="4" borderId="7" xfId="1" applyNumberFormat="1" applyFont="1" applyFill="1" applyBorder="1" applyAlignment="1">
      <alignment horizontal="center" vertical="center"/>
    </xf>
    <xf numFmtId="0" fontId="7" fillId="4" borderId="38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/>
    </xf>
    <xf numFmtId="3" fontId="11" fillId="0" borderId="1" xfId="4" applyNumberFormat="1" applyFont="1" applyBorder="1" applyAlignment="1">
      <alignment horizontal="center" vertical="center"/>
    </xf>
    <xf numFmtId="3" fontId="35" fillId="4" borderId="36" xfId="0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7" fillId="4" borderId="83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7" fillId="4" borderId="41" xfId="1" applyNumberFormat="1" applyFont="1" applyFill="1" applyBorder="1" applyAlignment="1">
      <alignment horizontal="center" vertical="center"/>
    </xf>
    <xf numFmtId="3" fontId="13" fillId="4" borderId="35" xfId="1" applyNumberFormat="1" applyFont="1" applyFill="1" applyBorder="1" applyAlignment="1">
      <alignment horizontal="right" vertical="center" wrapText="1"/>
    </xf>
    <xf numFmtId="3" fontId="29" fillId="4" borderId="0" xfId="0" applyNumberFormat="1" applyFont="1" applyFill="1" applyBorder="1" applyAlignment="1">
      <alignment horizontal="left" vertical="center" wrapText="1"/>
    </xf>
    <xf numFmtId="0" fontId="7" fillId="4" borderId="13" xfId="1" applyNumberFormat="1" applyFont="1" applyFill="1" applyBorder="1" applyAlignment="1">
      <alignment horizontal="center" vertical="center"/>
    </xf>
    <xf numFmtId="0" fontId="7" fillId="0" borderId="7" xfId="4" applyFont="1" applyBorder="1" applyAlignment="1">
      <alignment horizontal="left" vertical="center" wrapText="1"/>
    </xf>
    <xf numFmtId="0" fontId="11" fillId="4" borderId="74" xfId="1" applyFont="1" applyFill="1" applyBorder="1" applyAlignment="1">
      <alignment horizontal="center" vertical="center"/>
    </xf>
    <xf numFmtId="3" fontId="36" fillId="4" borderId="1" xfId="0" applyNumberFormat="1" applyFont="1" applyFill="1" applyBorder="1" applyAlignment="1">
      <alignment vertical="center" wrapText="1"/>
    </xf>
    <xf numFmtId="0" fontId="11" fillId="0" borderId="76" xfId="4" applyFont="1" applyBorder="1" applyAlignment="1">
      <alignment horizontal="center" vertical="center"/>
    </xf>
    <xf numFmtId="0" fontId="36" fillId="4" borderId="7" xfId="0" applyFont="1" applyFill="1" applyBorder="1" applyAlignment="1">
      <alignment horizontal="left" vertical="center" wrapText="1"/>
    </xf>
    <xf numFmtId="0" fontId="7" fillId="0" borderId="38" xfId="4" applyNumberFormat="1" applyFont="1" applyBorder="1" applyAlignment="1">
      <alignment horizontal="center" vertical="center"/>
    </xf>
    <xf numFmtId="0" fontId="5" fillId="0" borderId="0" xfId="1" applyAlignment="1">
      <alignment wrapText="1"/>
    </xf>
    <xf numFmtId="0" fontId="36" fillId="4" borderId="9" xfId="0" applyFont="1" applyFill="1" applyBorder="1" applyAlignment="1">
      <alignment horizontal="left" vertical="center" wrapText="1"/>
    </xf>
    <xf numFmtId="0" fontId="7" fillId="0" borderId="83" xfId="4" applyNumberFormat="1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36" fillId="4" borderId="1" xfId="0" applyFont="1" applyFill="1" applyBorder="1" applyAlignment="1">
      <alignment horizontal="left" vertical="center" wrapText="1"/>
    </xf>
    <xf numFmtId="0" fontId="7" fillId="0" borderId="34" xfId="4" applyNumberFormat="1" applyFont="1" applyBorder="1" applyAlignment="1">
      <alignment horizontal="center" vertical="center"/>
    </xf>
    <xf numFmtId="3" fontId="7" fillId="4" borderId="35" xfId="4" applyNumberFormat="1" applyFont="1" applyFill="1" applyBorder="1" applyAlignment="1">
      <alignment vertical="center"/>
    </xf>
    <xf numFmtId="3" fontId="7" fillId="4" borderId="36" xfId="4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left" vertical="center" wrapText="1"/>
    </xf>
    <xf numFmtId="0" fontId="11" fillId="0" borderId="6" xfId="4" applyFont="1" applyBorder="1" applyAlignment="1">
      <alignment horizontal="center" vertical="center"/>
    </xf>
    <xf numFmtId="0" fontId="7" fillId="0" borderId="45" xfId="4" applyNumberFormat="1" applyFont="1" applyBorder="1" applyAlignment="1">
      <alignment horizontal="center" vertical="center"/>
    </xf>
    <xf numFmtId="3" fontId="7" fillId="4" borderId="44" xfId="4" applyNumberFormat="1" applyFont="1" applyFill="1" applyBorder="1" applyAlignment="1">
      <alignment horizontal="right" vertical="center"/>
    </xf>
    <xf numFmtId="0" fontId="7" fillId="4" borderId="2" xfId="4" applyFont="1" applyFill="1" applyBorder="1" applyAlignment="1">
      <alignment vertical="center" wrapText="1"/>
    </xf>
    <xf numFmtId="0" fontId="7" fillId="4" borderId="65" xfId="4" applyFont="1" applyFill="1" applyBorder="1" applyAlignment="1">
      <alignment vertical="center" wrapText="1"/>
    </xf>
    <xf numFmtId="0" fontId="7" fillId="0" borderId="85" xfId="4" applyNumberFormat="1" applyFont="1" applyBorder="1" applyAlignment="1">
      <alignment horizontal="center" vertical="center"/>
    </xf>
    <xf numFmtId="0" fontId="7" fillId="4" borderId="6" xfId="4" applyFont="1" applyFill="1" applyBorder="1" applyAlignment="1">
      <alignment vertical="center" wrapText="1"/>
    </xf>
    <xf numFmtId="0" fontId="7" fillId="0" borderId="41" xfId="4" applyNumberFormat="1" applyFont="1" applyBorder="1" applyAlignment="1">
      <alignment horizontal="center" vertical="center"/>
    </xf>
    <xf numFmtId="3" fontId="7" fillId="4" borderId="35" xfId="4" applyNumberFormat="1" applyFont="1" applyFill="1" applyBorder="1" applyAlignment="1">
      <alignment horizontal="right" vertical="center"/>
    </xf>
    <xf numFmtId="3" fontId="7" fillId="4" borderId="42" xfId="4" applyNumberFormat="1" applyFont="1" applyFill="1" applyBorder="1" applyAlignment="1">
      <alignment horizontal="right" vertical="center"/>
    </xf>
    <xf numFmtId="0" fontId="7" fillId="4" borderId="1" xfId="4" applyFont="1" applyFill="1" applyBorder="1" applyAlignment="1">
      <alignment vertical="center" wrapText="1"/>
    </xf>
    <xf numFmtId="0" fontId="7" fillId="0" borderId="28" xfId="1" applyNumberFormat="1" applyFont="1" applyBorder="1" applyAlignment="1">
      <alignment horizontal="center" vertical="center"/>
    </xf>
    <xf numFmtId="0" fontId="7" fillId="4" borderId="65" xfId="1" applyFont="1" applyFill="1" applyBorder="1" applyAlignment="1">
      <alignment horizontal="left" vertical="center" wrapText="1"/>
    </xf>
    <xf numFmtId="0" fontId="7" fillId="0" borderId="45" xfId="1" applyNumberFormat="1" applyFont="1" applyBorder="1" applyAlignment="1">
      <alignment horizontal="center" vertical="center"/>
    </xf>
    <xf numFmtId="3" fontId="7" fillId="4" borderId="49" xfId="1" applyNumberFormat="1" applyFont="1" applyFill="1" applyBorder="1" applyAlignment="1">
      <alignment horizontal="right" vertical="center"/>
    </xf>
    <xf numFmtId="3" fontId="7" fillId="4" borderId="44" xfId="1" applyNumberFormat="1" applyFont="1" applyFill="1" applyBorder="1" applyAlignment="1">
      <alignment horizontal="right" vertical="center"/>
    </xf>
    <xf numFmtId="0" fontId="7" fillId="4" borderId="2" xfId="1" applyFont="1" applyFill="1" applyBorder="1" applyAlignment="1">
      <alignment horizontal="left" vertical="center" wrapText="1"/>
    </xf>
    <xf numFmtId="3" fontId="5" fillId="0" borderId="0" xfId="1" applyNumberFormat="1" applyAlignment="1">
      <alignment wrapText="1"/>
    </xf>
    <xf numFmtId="0" fontId="7" fillId="0" borderId="41" xfId="1" applyNumberFormat="1" applyFont="1" applyBorder="1" applyAlignment="1">
      <alignment horizontal="center" vertical="center"/>
    </xf>
    <xf numFmtId="3" fontId="7" fillId="4" borderId="35" xfId="1" applyNumberFormat="1" applyFont="1" applyFill="1" applyBorder="1" applyAlignment="1">
      <alignment horizontal="right" vertical="center"/>
    </xf>
    <xf numFmtId="3" fontId="7" fillId="4" borderId="36" xfId="1" applyNumberFormat="1" applyFont="1" applyFill="1" applyBorder="1" applyAlignment="1">
      <alignment horizontal="right" vertical="center"/>
    </xf>
    <xf numFmtId="0" fontId="7" fillId="0" borderId="34" xfId="1" applyNumberFormat="1" applyFont="1" applyBorder="1" applyAlignment="1">
      <alignment horizontal="center" vertical="center"/>
    </xf>
    <xf numFmtId="0" fontId="7" fillId="0" borderId="65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3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0" fontId="11" fillId="0" borderId="9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7" fillId="0" borderId="38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29" xfId="1" applyNumberFormat="1" applyFont="1" applyBorder="1" applyAlignment="1">
      <alignment horizontal="center" vertical="center"/>
    </xf>
    <xf numFmtId="0" fontId="7" fillId="0" borderId="76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5" fillId="0" borderId="65" xfId="1" applyFont="1" applyBorder="1" applyAlignment="1">
      <alignment vertical="center" wrapText="1"/>
    </xf>
    <xf numFmtId="3" fontId="28" fillId="2" borderId="1" xfId="1" applyNumberFormat="1" applyFont="1" applyFill="1" applyBorder="1" applyAlignment="1">
      <alignment horizontal="center" vertical="center"/>
    </xf>
    <xf numFmtId="0" fontId="29" fillId="2" borderId="6" xfId="1" applyNumberFormat="1" applyFont="1" applyFill="1" applyBorder="1" applyAlignment="1">
      <alignment horizontal="center" vertical="center"/>
    </xf>
    <xf numFmtId="3" fontId="28" fillId="2" borderId="85" xfId="1" applyNumberFormat="1" applyFont="1" applyFill="1" applyBorder="1" applyAlignment="1">
      <alignment horizontal="right" vertical="center"/>
    </xf>
    <xf numFmtId="0" fontId="29" fillId="2" borderId="6" xfId="1" applyFont="1" applyFill="1" applyBorder="1"/>
    <xf numFmtId="0" fontId="5" fillId="0" borderId="0" xfId="1" applyFont="1" applyAlignment="1">
      <alignment wrapText="1"/>
    </xf>
    <xf numFmtId="3" fontId="5" fillId="0" borderId="0" xfId="1" applyNumberFormat="1" applyAlignment="1">
      <alignment horizontal="center"/>
    </xf>
    <xf numFmtId="0" fontId="8" fillId="0" borderId="0" xfId="1" applyFont="1" applyAlignment="1">
      <alignment horizontal="right" vertical="center"/>
    </xf>
    <xf numFmtId="49" fontId="29" fillId="0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Fill="1" applyBorder="1" applyAlignment="1">
      <alignment horizontal="center" vertical="center"/>
    </xf>
    <xf numFmtId="49" fontId="28" fillId="2" borderId="1" xfId="1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vertical="center"/>
    </xf>
    <xf numFmtId="3" fontId="28" fillId="3" borderId="49" xfId="1" applyNumberFormat="1" applyFont="1" applyFill="1" applyBorder="1" applyAlignment="1">
      <alignment horizontal="right" vertical="center"/>
    </xf>
    <xf numFmtId="49" fontId="28" fillId="8" borderId="1" xfId="1" applyNumberFormat="1" applyFont="1" applyFill="1" applyBorder="1" applyAlignment="1">
      <alignment horizontal="center" vertical="center"/>
    </xf>
    <xf numFmtId="3" fontId="28" fillId="8" borderId="1" xfId="1" applyNumberFormat="1" applyFont="1" applyFill="1" applyBorder="1" applyAlignment="1">
      <alignment horizontal="right" vertical="center"/>
    </xf>
    <xf numFmtId="3" fontId="28" fillId="8" borderId="3" xfId="1" applyNumberFormat="1" applyFont="1" applyFill="1" applyBorder="1" applyAlignment="1">
      <alignment horizontal="right" vertical="center"/>
    </xf>
    <xf numFmtId="0" fontId="24" fillId="8" borderId="4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 wrapText="1"/>
    </xf>
    <xf numFmtId="0" fontId="28" fillId="8" borderId="3" xfId="1" applyFont="1" applyFill="1" applyBorder="1" applyAlignment="1">
      <alignment horizontal="center" vertical="center" wrapText="1"/>
    </xf>
    <xf numFmtId="0" fontId="28" fillId="8" borderId="1" xfId="1" applyFont="1" applyFill="1" applyBorder="1" applyAlignment="1">
      <alignment horizontal="center" vertical="center" wrapText="1"/>
    </xf>
    <xf numFmtId="0" fontId="28" fillId="3" borderId="74" xfId="1" applyFont="1" applyFill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3" fontId="28" fillId="3" borderId="18" xfId="1" applyNumberFormat="1" applyFont="1" applyFill="1" applyBorder="1" applyAlignment="1">
      <alignment horizontal="right" vertical="center"/>
    </xf>
    <xf numFmtId="3" fontId="28" fillId="3" borderId="2" xfId="1" applyNumberFormat="1" applyFont="1" applyFill="1" applyBorder="1" applyAlignment="1">
      <alignment horizontal="right" vertical="center"/>
    </xf>
    <xf numFmtId="3" fontId="28" fillId="3" borderId="45" xfId="1" applyNumberFormat="1" applyFont="1" applyFill="1" applyBorder="1" applyAlignment="1">
      <alignment horizontal="right" vertical="center"/>
    </xf>
    <xf numFmtId="0" fontId="28" fillId="3" borderId="46" xfId="1" applyFont="1" applyFill="1" applyBorder="1" applyAlignment="1">
      <alignment horizontal="right" vertical="center"/>
    </xf>
    <xf numFmtId="0" fontId="28" fillId="3" borderId="70" xfId="1" applyFont="1" applyFill="1" applyBorder="1" applyAlignment="1">
      <alignment horizontal="right" vertical="center"/>
    </xf>
    <xf numFmtId="3" fontId="29" fillId="0" borderId="29" xfId="1" applyNumberFormat="1" applyFont="1" applyFill="1" applyBorder="1" applyAlignment="1">
      <alignment horizontal="right" vertical="center"/>
    </xf>
    <xf numFmtId="3" fontId="28" fillId="3" borderId="8" xfId="1" applyNumberFormat="1" applyFont="1" applyFill="1" applyBorder="1" applyAlignment="1">
      <alignment horizontal="right" vertical="center"/>
    </xf>
    <xf numFmtId="3" fontId="28" fillId="3" borderId="33" xfId="1" applyNumberFormat="1" applyFont="1" applyFill="1" applyBorder="1" applyAlignment="1">
      <alignment horizontal="right" vertical="center"/>
    </xf>
    <xf numFmtId="3" fontId="28" fillId="3" borderId="57" xfId="1" applyNumberFormat="1" applyFont="1" applyFill="1" applyBorder="1" applyAlignment="1">
      <alignment horizontal="right" vertical="center"/>
    </xf>
    <xf numFmtId="3" fontId="28" fillId="3" borderId="15" xfId="1" applyNumberFormat="1" applyFont="1" applyFill="1" applyBorder="1" applyAlignment="1">
      <alignment horizontal="right" vertical="center"/>
    </xf>
    <xf numFmtId="3" fontId="28" fillId="3" borderId="16" xfId="1" applyNumberFormat="1" applyFont="1" applyFill="1" applyBorder="1" applyAlignment="1">
      <alignment horizontal="right" vertical="center"/>
    </xf>
    <xf numFmtId="3" fontId="28" fillId="8" borderId="4" xfId="1" applyNumberFormat="1" applyFont="1" applyFill="1" applyBorder="1" applyAlignment="1">
      <alignment horizontal="right" vertical="center"/>
    </xf>
    <xf numFmtId="0" fontId="7" fillId="0" borderId="0" xfId="2" applyFont="1"/>
    <xf numFmtId="0" fontId="6" fillId="0" borderId="0" xfId="2"/>
    <xf numFmtId="0" fontId="28" fillId="8" borderId="1" xfId="2" applyFont="1" applyFill="1" applyBorder="1" applyAlignment="1">
      <alignment horizontal="center" vertical="center"/>
    </xf>
    <xf numFmtId="0" fontId="28" fillId="8" borderId="4" xfId="2" applyFont="1" applyFill="1" applyBorder="1" applyAlignment="1">
      <alignment horizontal="center" vertical="center"/>
    </xf>
    <xf numFmtId="3" fontId="28" fillId="8" borderId="1" xfId="2" applyNumberFormat="1" applyFont="1" applyFill="1" applyBorder="1" applyAlignment="1">
      <alignment horizontal="right" vertical="center"/>
    </xf>
    <xf numFmtId="3" fontId="11" fillId="3" borderId="1" xfId="2" applyNumberFormat="1" applyFont="1" applyFill="1" applyBorder="1" applyAlignment="1">
      <alignment horizontal="right"/>
    </xf>
    <xf numFmtId="3" fontId="11" fillId="3" borderId="4" xfId="2" applyNumberFormat="1" applyFont="1" applyFill="1" applyBorder="1" applyAlignment="1">
      <alignment horizontal="right"/>
    </xf>
    <xf numFmtId="0" fontId="7" fillId="0" borderId="9" xfId="2" applyFont="1" applyBorder="1" applyAlignment="1">
      <alignment horizontal="center" vertical="center"/>
    </xf>
    <xf numFmtId="0" fontId="7" fillId="0" borderId="0" xfId="16" applyFont="1" applyAlignment="1">
      <alignment wrapText="1"/>
    </xf>
    <xf numFmtId="3" fontId="7" fillId="0" borderId="7" xfId="2" applyNumberFormat="1" applyFont="1" applyBorder="1" applyAlignment="1">
      <alignment vertical="center"/>
    </xf>
    <xf numFmtId="3" fontId="7" fillId="0" borderId="81" xfId="2" applyNumberFormat="1" applyFont="1" applyBorder="1" applyAlignment="1">
      <alignment vertical="center"/>
    </xf>
    <xf numFmtId="3" fontId="6" fillId="0" borderId="0" xfId="2" applyNumberFormat="1"/>
    <xf numFmtId="0" fontId="7" fillId="0" borderId="65" xfId="2" applyFont="1" applyBorder="1" applyAlignment="1">
      <alignment horizontal="center" vertical="center"/>
    </xf>
    <xf numFmtId="0" fontId="7" fillId="0" borderId="12" xfId="16" applyFont="1" applyBorder="1" applyAlignment="1">
      <alignment wrapText="1"/>
    </xf>
    <xf numFmtId="3" fontId="11" fillId="3" borderId="1" xfId="2" applyNumberFormat="1" applyFont="1" applyFill="1" applyBorder="1" applyAlignment="1">
      <alignment vertical="center"/>
    </xf>
    <xf numFmtId="3" fontId="11" fillId="3" borderId="4" xfId="2" applyNumberFormat="1" applyFont="1" applyFill="1" applyBorder="1" applyAlignment="1">
      <alignment vertical="center"/>
    </xf>
    <xf numFmtId="0" fontId="7" fillId="0" borderId="2" xfId="2" applyFont="1" applyBorder="1" applyAlignment="1">
      <alignment horizontal="center" vertical="center"/>
    </xf>
    <xf numFmtId="0" fontId="7" fillId="0" borderId="77" xfId="16" applyFont="1" applyBorder="1" applyAlignment="1">
      <alignment vertical="center" wrapText="1"/>
    </xf>
    <xf numFmtId="3" fontId="7" fillId="0" borderId="8" xfId="2" applyNumberFormat="1" applyFont="1" applyBorder="1" applyAlignment="1">
      <alignment vertical="center"/>
    </xf>
    <xf numFmtId="3" fontId="7" fillId="0" borderId="16" xfId="2" applyNumberFormat="1" applyFont="1" applyBorder="1" applyAlignment="1">
      <alignment vertical="center"/>
    </xf>
    <xf numFmtId="0" fontId="7" fillId="0" borderId="12" xfId="16" applyFont="1" applyBorder="1" applyAlignment="1">
      <alignment vertical="center" wrapText="1"/>
    </xf>
    <xf numFmtId="0" fontId="42" fillId="0" borderId="0" xfId="2" applyFont="1"/>
    <xf numFmtId="0" fontId="7" fillId="0" borderId="1" xfId="2" applyFont="1" applyBorder="1" applyAlignment="1">
      <alignment horizontal="center"/>
    </xf>
    <xf numFmtId="0" fontId="7" fillId="0" borderId="0" xfId="2" applyFont="1" applyAlignment="1">
      <alignment wrapText="1"/>
    </xf>
    <xf numFmtId="3" fontId="42" fillId="0" borderId="0" xfId="2" applyNumberFormat="1" applyFont="1"/>
    <xf numFmtId="0" fontId="7" fillId="0" borderId="12" xfId="16" applyFont="1" applyBorder="1"/>
    <xf numFmtId="0" fontId="7" fillId="0" borderId="1" xfId="2" applyFont="1" applyBorder="1" applyAlignment="1">
      <alignment horizontal="center" vertical="center"/>
    </xf>
    <xf numFmtId="0" fontId="7" fillId="0" borderId="77" xfId="16" applyFont="1" applyBorder="1" applyAlignment="1">
      <alignment wrapText="1"/>
    </xf>
    <xf numFmtId="0" fontId="28" fillId="8" borderId="3" xfId="2" applyFont="1" applyFill="1" applyBorder="1" applyAlignment="1">
      <alignment horizontal="center" vertical="center"/>
    </xf>
    <xf numFmtId="0" fontId="28" fillId="8" borderId="5" xfId="2" applyFont="1" applyFill="1" applyBorder="1" applyAlignment="1">
      <alignment horizontal="center" vertical="center"/>
    </xf>
    <xf numFmtId="3" fontId="28" fillId="8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43" fillId="0" borderId="0" xfId="2" applyNumberFormat="1" applyFont="1"/>
    <xf numFmtId="0" fontId="18" fillId="0" borderId="0" xfId="2" applyFont="1" applyAlignment="1">
      <alignment horizontal="center"/>
    </xf>
    <xf numFmtId="0" fontId="18" fillId="0" borderId="0" xfId="16" applyFont="1" applyAlignment="1">
      <alignment wrapText="1"/>
    </xf>
    <xf numFmtId="3" fontId="18" fillId="0" borderId="0" xfId="2" applyNumberFormat="1" applyFont="1"/>
    <xf numFmtId="0" fontId="44" fillId="0" borderId="0" xfId="14" applyFont="1" applyAlignment="1">
      <alignment horizontal="center" vertical="center"/>
    </xf>
    <xf numFmtId="0" fontId="44" fillId="0" borderId="0" xfId="14" applyFont="1" applyAlignment="1">
      <alignment vertical="center"/>
    </xf>
    <xf numFmtId="0" fontId="45" fillId="0" borderId="0" xfId="14" applyFont="1"/>
    <xf numFmtId="0" fontId="47" fillId="0" borderId="0" xfId="14" applyFont="1" applyBorder="1" applyAlignment="1">
      <alignment vertical="center" wrapText="1"/>
    </xf>
    <xf numFmtId="4" fontId="47" fillId="0" borderId="0" xfId="14" applyNumberFormat="1" applyFont="1" applyBorder="1" applyAlignment="1">
      <alignment vertical="center" wrapText="1"/>
    </xf>
    <xf numFmtId="10" fontId="47" fillId="0" borderId="0" xfId="14" applyNumberFormat="1" applyFont="1" applyBorder="1" applyAlignment="1">
      <alignment vertical="center" wrapText="1"/>
    </xf>
    <xf numFmtId="3" fontId="47" fillId="0" borderId="0" xfId="17" applyNumberFormat="1" applyFont="1" applyBorder="1" applyAlignment="1">
      <alignment vertical="center" wrapText="1"/>
    </xf>
    <xf numFmtId="0" fontId="48" fillId="0" borderId="0" xfId="14" applyFont="1" applyAlignment="1">
      <alignment horizontal="right"/>
    </xf>
    <xf numFmtId="3" fontId="49" fillId="0" borderId="0" xfId="17" applyNumberFormat="1" applyFont="1" applyBorder="1" applyAlignment="1">
      <alignment horizontal="right" vertical="center" wrapText="1"/>
    </xf>
    <xf numFmtId="0" fontId="50" fillId="0" borderId="0" xfId="14" applyFont="1" applyBorder="1" applyAlignment="1">
      <alignment horizontal="center" vertical="center"/>
    </xf>
    <xf numFmtId="0" fontId="45" fillId="0" borderId="0" xfId="14" applyFont="1" applyBorder="1" applyAlignment="1">
      <alignment horizontal="center" vertical="center"/>
    </xf>
    <xf numFmtId="0" fontId="45" fillId="0" borderId="0" xfId="14" applyFont="1" applyBorder="1" applyAlignment="1">
      <alignment vertical="center"/>
    </xf>
    <xf numFmtId="3" fontId="5" fillId="0" borderId="0" xfId="14" applyNumberFormat="1" applyFont="1" applyBorder="1" applyAlignment="1">
      <alignment horizontal="right" vertical="center"/>
    </xf>
    <xf numFmtId="4" fontId="5" fillId="0" borderId="0" xfId="14" applyNumberFormat="1" applyFont="1" applyBorder="1" applyAlignment="1">
      <alignment horizontal="right" vertical="center"/>
    </xf>
    <xf numFmtId="10" fontId="51" fillId="0" borderId="0" xfId="14" applyNumberFormat="1" applyFont="1" applyBorder="1" applyAlignment="1">
      <alignment horizontal="right" vertical="center"/>
    </xf>
    <xf numFmtId="3" fontId="51" fillId="0" borderId="0" xfId="17" applyNumberFormat="1" applyFont="1" applyBorder="1" applyAlignment="1">
      <alignment horizontal="right" vertical="center"/>
    </xf>
    <xf numFmtId="0" fontId="28" fillId="8" borderId="1" xfId="14" applyFont="1" applyFill="1" applyBorder="1" applyAlignment="1">
      <alignment horizontal="center" vertical="center" wrapText="1"/>
    </xf>
    <xf numFmtId="0" fontId="28" fillId="8" borderId="4" xfId="14" applyFont="1" applyFill="1" applyBorder="1" applyAlignment="1">
      <alignment horizontal="center" vertical="center" wrapText="1"/>
    </xf>
    <xf numFmtId="0" fontId="28" fillId="8" borderId="3" xfId="14" applyFont="1" applyFill="1" applyBorder="1" applyAlignment="1">
      <alignment horizontal="center" vertical="center" wrapText="1"/>
    </xf>
    <xf numFmtId="3" fontId="28" fillId="8" borderId="1" xfId="14" applyNumberFormat="1" applyFont="1" applyFill="1" applyBorder="1" applyAlignment="1">
      <alignment horizontal="center" vertical="center"/>
    </xf>
    <xf numFmtId="4" fontId="28" fillId="8" borderId="1" xfId="14" applyNumberFormat="1" applyFont="1" applyFill="1" applyBorder="1" applyAlignment="1">
      <alignment horizontal="center" vertical="center"/>
    </xf>
    <xf numFmtId="10" fontId="28" fillId="8" borderId="1" xfId="14" applyNumberFormat="1" applyFont="1" applyFill="1" applyBorder="1" applyAlignment="1">
      <alignment horizontal="center" vertical="center"/>
    </xf>
    <xf numFmtId="10" fontId="28" fillId="8" borderId="4" xfId="14" applyNumberFormat="1" applyFont="1" applyFill="1" applyBorder="1" applyAlignment="1">
      <alignment horizontal="center" vertical="center"/>
    </xf>
    <xf numFmtId="0" fontId="11" fillId="3" borderId="1" xfId="14" quotePrefix="1" applyFont="1" applyFill="1" applyBorder="1" applyAlignment="1">
      <alignment horizontal="center" vertical="center" wrapText="1"/>
    </xf>
    <xf numFmtId="0" fontId="11" fillId="3" borderId="4" xfId="14" quotePrefix="1" applyFont="1" applyFill="1" applyBorder="1" applyAlignment="1">
      <alignment horizontal="center" vertical="center" wrapText="1"/>
    </xf>
    <xf numFmtId="0" fontId="11" fillId="3" borderId="3" xfId="14" applyFont="1" applyFill="1" applyBorder="1" applyAlignment="1">
      <alignment vertical="center" wrapText="1"/>
    </xf>
    <xf numFmtId="0" fontId="14" fillId="3" borderId="3" xfId="14" applyFont="1" applyFill="1" applyBorder="1" applyAlignment="1">
      <alignment vertical="center" wrapText="1"/>
    </xf>
    <xf numFmtId="3" fontId="32" fillId="3" borderId="9" xfId="14" applyNumberFormat="1" applyFont="1" applyFill="1" applyBorder="1" applyAlignment="1">
      <alignment horizontal="right" vertical="center"/>
    </xf>
    <xf numFmtId="10" fontId="32" fillId="3" borderId="9" xfId="14" applyNumberFormat="1" applyFont="1" applyFill="1" applyBorder="1" applyAlignment="1">
      <alignment horizontal="right" vertical="center"/>
    </xf>
    <xf numFmtId="10" fontId="32" fillId="3" borderId="68" xfId="14" applyNumberFormat="1" applyFont="1" applyFill="1" applyBorder="1" applyAlignment="1">
      <alignment horizontal="right" vertical="center"/>
    </xf>
    <xf numFmtId="10" fontId="32" fillId="3" borderId="9" xfId="17" applyNumberFormat="1" applyFont="1" applyFill="1" applyBorder="1" applyAlignment="1">
      <alignment horizontal="right" vertical="center"/>
    </xf>
    <xf numFmtId="0" fontId="12" fillId="0" borderId="0" xfId="14"/>
    <xf numFmtId="0" fontId="14" fillId="0" borderId="9" xfId="14" quotePrefix="1" applyFont="1" applyFill="1" applyBorder="1" applyAlignment="1">
      <alignment vertical="center" wrapText="1"/>
    </xf>
    <xf numFmtId="49" fontId="9" fillId="10" borderId="5" xfId="14" applyNumberFormat="1" applyFont="1" applyFill="1" applyBorder="1" applyAlignment="1">
      <alignment horizontal="center" vertical="center" wrapText="1"/>
    </xf>
    <xf numFmtId="0" fontId="9" fillId="10" borderId="1" xfId="14" applyFont="1" applyFill="1" applyBorder="1" applyAlignment="1">
      <alignment vertical="center" wrapText="1"/>
    </xf>
    <xf numFmtId="0" fontId="9" fillId="10" borderId="3" xfId="14" applyFont="1" applyFill="1" applyBorder="1" applyAlignment="1">
      <alignment vertical="center" wrapText="1"/>
    </xf>
    <xf numFmtId="3" fontId="32" fillId="10" borderId="9" xfId="14" applyNumberFormat="1" applyFont="1" applyFill="1" applyBorder="1" applyAlignment="1">
      <alignment horizontal="right" vertical="center"/>
    </xf>
    <xf numFmtId="10" fontId="32" fillId="10" borderId="9" xfId="14" applyNumberFormat="1" applyFont="1" applyFill="1" applyBorder="1" applyAlignment="1">
      <alignment horizontal="right" vertical="center"/>
    </xf>
    <xf numFmtId="10" fontId="32" fillId="10" borderId="68" xfId="14" applyNumberFormat="1" applyFont="1" applyFill="1" applyBorder="1" applyAlignment="1">
      <alignment horizontal="right" vertical="center"/>
    </xf>
    <xf numFmtId="10" fontId="32" fillId="10" borderId="9" xfId="17" applyNumberFormat="1" applyFont="1" applyFill="1" applyBorder="1" applyAlignment="1">
      <alignment horizontal="right" vertical="center"/>
    </xf>
    <xf numFmtId="0" fontId="14" fillId="0" borderId="7" xfId="14" quotePrefix="1" applyFont="1" applyFill="1" applyBorder="1" applyAlignment="1">
      <alignment vertical="center" wrapText="1"/>
    </xf>
    <xf numFmtId="0" fontId="8" fillId="11" borderId="74" xfId="14" applyFont="1" applyFill="1" applyBorder="1" applyAlignment="1">
      <alignment vertical="center" wrapText="1"/>
    </xf>
    <xf numFmtId="3" fontId="51" fillId="11" borderId="9" xfId="14" applyNumberFormat="1" applyFont="1" applyFill="1" applyBorder="1" applyAlignment="1">
      <alignment horizontal="right" vertical="center"/>
    </xf>
    <xf numFmtId="10" fontId="51" fillId="11" borderId="2" xfId="14" applyNumberFormat="1" applyFont="1" applyFill="1" applyBorder="1" applyAlignment="1">
      <alignment horizontal="right" vertical="center"/>
    </xf>
    <xf numFmtId="10" fontId="51" fillId="11" borderId="17" xfId="14" applyNumberFormat="1" applyFont="1" applyFill="1" applyBorder="1" applyAlignment="1">
      <alignment horizontal="right" vertical="center"/>
    </xf>
    <xf numFmtId="10" fontId="51" fillId="11" borderId="2" xfId="17" applyNumberFormat="1" applyFont="1" applyFill="1" applyBorder="1" applyAlignment="1">
      <alignment horizontal="right" vertical="center"/>
    </xf>
    <xf numFmtId="49" fontId="7" fillId="4" borderId="71" xfId="14" applyNumberFormat="1" applyFont="1" applyFill="1" applyBorder="1" applyAlignment="1">
      <alignment horizontal="center" vertical="center" wrapText="1"/>
    </xf>
    <xf numFmtId="3" fontId="5" fillId="4" borderId="71" xfId="14" applyNumberFormat="1" applyFont="1" applyFill="1" applyBorder="1" applyAlignment="1">
      <alignment horizontal="right" vertical="center"/>
    </xf>
    <xf numFmtId="10" fontId="5" fillId="0" borderId="71" xfId="14" applyNumberFormat="1" applyFont="1" applyFill="1" applyBorder="1" applyAlignment="1">
      <alignment horizontal="right" vertical="center"/>
    </xf>
    <xf numFmtId="3" fontId="5" fillId="0" borderId="71" xfId="17" applyNumberFormat="1" applyFont="1" applyFill="1" applyBorder="1" applyAlignment="1">
      <alignment horizontal="right" vertical="center"/>
    </xf>
    <xf numFmtId="10" fontId="5" fillId="0" borderId="20" xfId="14" applyNumberFormat="1" applyFont="1" applyFill="1" applyBorder="1" applyAlignment="1">
      <alignment horizontal="right" vertical="center"/>
    </xf>
    <xf numFmtId="10" fontId="5" fillId="0" borderId="71" xfId="17" applyNumberFormat="1" applyFont="1" applyFill="1" applyBorder="1" applyAlignment="1">
      <alignment horizontal="right" vertical="center"/>
    </xf>
    <xf numFmtId="49" fontId="7" fillId="4" borderId="80" xfId="14" applyNumberFormat="1" applyFont="1" applyFill="1" applyBorder="1" applyAlignment="1">
      <alignment horizontal="center" vertical="center" wrapText="1"/>
    </xf>
    <xf numFmtId="3" fontId="5" fillId="0" borderId="71" xfId="14" applyNumberFormat="1" applyFont="1" applyFill="1" applyBorder="1" applyAlignment="1">
      <alignment horizontal="right" vertical="center"/>
    </xf>
    <xf numFmtId="49" fontId="7" fillId="4" borderId="76" xfId="14" applyNumberFormat="1" applyFont="1" applyFill="1" applyBorder="1" applyAlignment="1">
      <alignment horizontal="center" vertical="center" wrapText="1"/>
    </xf>
    <xf numFmtId="0" fontId="8" fillId="11" borderId="82" xfId="14" applyFont="1" applyFill="1" applyBorder="1" applyAlignment="1">
      <alignment vertical="center" wrapText="1"/>
    </xf>
    <xf numFmtId="3" fontId="51" fillId="11" borderId="71" xfId="14" applyNumberFormat="1" applyFont="1" applyFill="1" applyBorder="1" applyAlignment="1">
      <alignment horizontal="right" vertical="center"/>
    </xf>
    <xf numFmtId="10" fontId="51" fillId="11" borderId="71" xfId="14" applyNumberFormat="1" applyFont="1" applyFill="1" applyBorder="1" applyAlignment="1">
      <alignment horizontal="right" vertical="center"/>
    </xf>
    <xf numFmtId="10" fontId="51" fillId="11" borderId="20" xfId="14" applyNumberFormat="1" applyFont="1" applyFill="1" applyBorder="1" applyAlignment="1">
      <alignment horizontal="right" vertical="center"/>
    </xf>
    <xf numFmtId="10" fontId="5" fillId="11" borderId="71" xfId="17" applyNumberFormat="1" applyFont="1" applyFill="1" applyBorder="1" applyAlignment="1">
      <alignment horizontal="right" vertical="center"/>
    </xf>
    <xf numFmtId="0" fontId="15" fillId="0" borderId="6" xfId="14" applyFont="1" applyFill="1" applyBorder="1" applyAlignment="1">
      <alignment horizontal="left" vertical="center" wrapText="1"/>
    </xf>
    <xf numFmtId="0" fontId="13" fillId="0" borderId="10" xfId="14" applyFont="1" applyFill="1" applyBorder="1" applyAlignment="1">
      <alignment horizontal="left" vertical="center" wrapText="1"/>
    </xf>
    <xf numFmtId="49" fontId="13" fillId="0" borderId="80" xfId="14" applyNumberFormat="1" applyFont="1" applyFill="1" applyBorder="1" applyAlignment="1">
      <alignment horizontal="center" vertical="center" wrapText="1"/>
    </xf>
    <xf numFmtId="3" fontId="33" fillId="0" borderId="8" xfId="14" applyNumberFormat="1" applyFont="1" applyFill="1" applyBorder="1" applyAlignment="1">
      <alignment horizontal="right" vertical="center"/>
    </xf>
    <xf numFmtId="10" fontId="33" fillId="0" borderId="8" xfId="14" applyNumberFormat="1" applyFont="1" applyFill="1" applyBorder="1" applyAlignment="1">
      <alignment horizontal="right" vertical="center"/>
    </xf>
    <xf numFmtId="3" fontId="33" fillId="0" borderId="81" xfId="17" applyNumberFormat="1" applyFont="1" applyFill="1" applyBorder="1" applyAlignment="1">
      <alignment horizontal="right" vertical="center"/>
    </xf>
    <xf numFmtId="0" fontId="44" fillId="0" borderId="0" xfId="14" applyFont="1" applyFill="1" applyBorder="1"/>
    <xf numFmtId="10" fontId="32" fillId="3" borderId="30" xfId="17" applyNumberFormat="1" applyFont="1" applyFill="1" applyBorder="1" applyAlignment="1">
      <alignment horizontal="right" vertical="center"/>
    </xf>
    <xf numFmtId="0" fontId="12" fillId="0" borderId="0" xfId="14" applyFill="1"/>
    <xf numFmtId="0" fontId="49" fillId="10" borderId="3" xfId="14" applyFont="1" applyFill="1" applyBorder="1" applyAlignment="1">
      <alignment vertical="center" wrapText="1"/>
    </xf>
    <xf numFmtId="10" fontId="32" fillId="10" borderId="69" xfId="14" applyNumberFormat="1" applyFont="1" applyFill="1" applyBorder="1" applyAlignment="1">
      <alignment horizontal="right" vertical="center"/>
    </xf>
    <xf numFmtId="10" fontId="32" fillId="10" borderId="1" xfId="17" applyNumberFormat="1" applyFont="1" applyFill="1" applyBorder="1" applyAlignment="1">
      <alignment horizontal="right" vertical="center"/>
    </xf>
    <xf numFmtId="0" fontId="8" fillId="11" borderId="18" xfId="14" quotePrefix="1" applyFont="1" applyFill="1" applyBorder="1" applyAlignment="1">
      <alignment horizontal="left" vertical="center" wrapText="1"/>
    </xf>
    <xf numFmtId="3" fontId="51" fillId="11" borderId="2" xfId="14" applyNumberFormat="1" applyFont="1" applyFill="1" applyBorder="1" applyAlignment="1">
      <alignment horizontal="right" vertical="center"/>
    </xf>
    <xf numFmtId="10" fontId="51" fillId="11" borderId="8" xfId="17" applyNumberFormat="1" applyFont="1" applyFill="1" applyBorder="1" applyAlignment="1">
      <alignment horizontal="right" vertical="center"/>
    </xf>
    <xf numFmtId="0" fontId="7" fillId="0" borderId="76" xfId="14" applyFont="1" applyFill="1" applyBorder="1" applyAlignment="1">
      <alignment horizontal="left" vertical="center" wrapText="1"/>
    </xf>
    <xf numFmtId="0" fontId="7" fillId="0" borderId="82" xfId="14" quotePrefix="1" applyFont="1" applyFill="1" applyBorder="1" applyAlignment="1">
      <alignment horizontal="left" vertical="center" wrapText="1"/>
    </xf>
    <xf numFmtId="49" fontId="7" fillId="0" borderId="71" xfId="14" quotePrefix="1" applyNumberFormat="1" applyFont="1" applyFill="1" applyBorder="1" applyAlignment="1">
      <alignment horizontal="center" vertical="center" wrapText="1"/>
    </xf>
    <xf numFmtId="3" fontId="5" fillId="0" borderId="7" xfId="14" applyNumberFormat="1" applyFont="1" applyFill="1" applyBorder="1" applyAlignment="1">
      <alignment horizontal="right" vertical="center"/>
    </xf>
    <xf numFmtId="3" fontId="5" fillId="0" borderId="81" xfId="17" applyNumberFormat="1" applyFont="1" applyFill="1" applyBorder="1" applyAlignment="1">
      <alignment horizontal="right" vertical="center"/>
    </xf>
    <xf numFmtId="3" fontId="45" fillId="0" borderId="0" xfId="14" applyNumberFormat="1" applyFont="1" applyBorder="1"/>
    <xf numFmtId="10" fontId="32" fillId="3" borderId="71" xfId="17" applyNumberFormat="1" applyFont="1" applyFill="1" applyBorder="1" applyAlignment="1">
      <alignment horizontal="right" vertical="center"/>
    </xf>
    <xf numFmtId="0" fontId="12" fillId="0" borderId="0" xfId="14" applyFont="1"/>
    <xf numFmtId="0" fontId="8" fillId="4" borderId="7" xfId="14" applyFont="1" applyFill="1" applyBorder="1" applyAlignment="1">
      <alignment vertical="center" wrapText="1"/>
    </xf>
    <xf numFmtId="0" fontId="7" fillId="0" borderId="16" xfId="14" quotePrefix="1" applyFont="1" applyFill="1" applyBorder="1" applyAlignment="1">
      <alignment horizontal="left" vertical="center" wrapText="1"/>
    </xf>
    <xf numFmtId="0" fontId="7" fillId="4" borderId="20" xfId="14" quotePrefix="1" applyFont="1" applyFill="1" applyBorder="1" applyAlignment="1">
      <alignment horizontal="center" vertical="center" wrapText="1"/>
    </xf>
    <xf numFmtId="10" fontId="5" fillId="0" borderId="20" xfId="14" applyNumberFormat="1" applyFont="1" applyFill="1" applyBorder="1" applyAlignment="1">
      <alignment horizontal="left" vertical="center"/>
    </xf>
    <xf numFmtId="0" fontId="8" fillId="4" borderId="8" xfId="14" applyFont="1" applyFill="1" applyBorder="1" applyAlignment="1">
      <alignment vertical="center" wrapText="1"/>
    </xf>
    <xf numFmtId="0" fontId="7" fillId="0" borderId="72" xfId="14" quotePrefix="1" applyFont="1" applyFill="1" applyBorder="1" applyAlignment="1">
      <alignment horizontal="left" vertical="center" wrapText="1"/>
    </xf>
    <xf numFmtId="0" fontId="7" fillId="4" borderId="77" xfId="14" quotePrefix="1" applyFont="1" applyFill="1" applyBorder="1" applyAlignment="1">
      <alignment horizontal="center" vertical="center" wrapText="1"/>
    </xf>
    <xf numFmtId="0" fontId="8" fillId="11" borderId="29" xfId="14" quotePrefix="1" applyFont="1" applyFill="1" applyBorder="1" applyAlignment="1">
      <alignment horizontal="left" vertical="center" wrapText="1"/>
    </xf>
    <xf numFmtId="3" fontId="51" fillId="11" borderId="65" xfId="14" applyNumberFormat="1" applyFont="1" applyFill="1" applyBorder="1" applyAlignment="1">
      <alignment horizontal="right" vertical="center"/>
    </xf>
    <xf numFmtId="10" fontId="51" fillId="11" borderId="65" xfId="14" applyNumberFormat="1" applyFont="1" applyFill="1" applyBorder="1" applyAlignment="1">
      <alignment horizontal="right" vertical="center"/>
    </xf>
    <xf numFmtId="10" fontId="51" fillId="11" borderId="67" xfId="14" applyNumberFormat="1" applyFont="1" applyFill="1" applyBorder="1" applyAlignment="1">
      <alignment horizontal="right" vertical="center"/>
    </xf>
    <xf numFmtId="10" fontId="5" fillId="11" borderId="30" xfId="17" applyNumberFormat="1" applyFont="1" applyFill="1" applyBorder="1" applyAlignment="1">
      <alignment horizontal="right" vertical="center"/>
    </xf>
    <xf numFmtId="0" fontId="52" fillId="10" borderId="3" xfId="14" applyFont="1" applyFill="1" applyBorder="1" applyAlignment="1">
      <alignment vertical="center" wrapText="1"/>
    </xf>
    <xf numFmtId="49" fontId="15" fillId="11" borderId="80" xfId="14" applyNumberFormat="1" applyFont="1" applyFill="1" applyBorder="1" applyAlignment="1">
      <alignment horizontal="left" vertical="center" wrapText="1"/>
    </xf>
    <xf numFmtId="49" fontId="53" fillId="0" borderId="71" xfId="14" applyNumberFormat="1" applyFont="1" applyBorder="1" applyAlignment="1">
      <alignment vertical="center" wrapText="1"/>
    </xf>
    <xf numFmtId="0" fontId="7" fillId="0" borderId="20" xfId="14" applyFont="1" applyFill="1" applyBorder="1" applyAlignment="1">
      <alignment vertical="center" wrapText="1"/>
    </xf>
    <xf numFmtId="49" fontId="50" fillId="4" borderId="82" xfId="14" applyNumberFormat="1" applyFont="1" applyFill="1" applyBorder="1" applyAlignment="1">
      <alignment horizontal="center" vertical="center" wrapText="1"/>
    </xf>
    <xf numFmtId="0" fontId="14" fillId="0" borderId="6" xfId="14" quotePrefix="1" applyFont="1" applyFill="1" applyBorder="1" applyAlignment="1">
      <alignment vertical="center" wrapText="1"/>
    </xf>
    <xf numFmtId="49" fontId="53" fillId="0" borderId="6" xfId="14" applyNumberFormat="1" applyFont="1" applyBorder="1" applyAlignment="1">
      <alignment vertical="center" wrapText="1"/>
    </xf>
    <xf numFmtId="0" fontId="7" fillId="4" borderId="73" xfId="14" applyFont="1" applyFill="1" applyBorder="1" applyAlignment="1">
      <alignment vertical="center" wrapText="1"/>
    </xf>
    <xf numFmtId="49" fontId="7" fillId="4" borderId="6" xfId="14" applyNumberFormat="1" applyFont="1" applyFill="1" applyBorder="1" applyAlignment="1">
      <alignment horizontal="center" vertical="center" wrapText="1"/>
    </xf>
    <xf numFmtId="3" fontId="5" fillId="0" borderId="6" xfId="14" applyNumberFormat="1" applyFont="1" applyFill="1" applyBorder="1" applyAlignment="1">
      <alignment horizontal="right" vertical="center"/>
    </xf>
    <xf numFmtId="3" fontId="33" fillId="0" borderId="6" xfId="14" applyNumberFormat="1" applyFont="1" applyFill="1" applyBorder="1" applyAlignment="1">
      <alignment horizontal="right" vertical="center"/>
    </xf>
    <xf numFmtId="10" fontId="33" fillId="0" borderId="6" xfId="14" applyNumberFormat="1" applyFont="1" applyFill="1" applyBorder="1" applyAlignment="1">
      <alignment horizontal="right" vertical="center"/>
    </xf>
    <xf numFmtId="3" fontId="33" fillId="0" borderId="6" xfId="17" applyNumberFormat="1" applyFont="1" applyFill="1" applyBorder="1" applyAlignment="1">
      <alignment horizontal="right" vertical="center"/>
    </xf>
    <xf numFmtId="10" fontId="33" fillId="0" borderId="10" xfId="14" applyNumberFormat="1" applyFont="1" applyFill="1" applyBorder="1" applyAlignment="1">
      <alignment horizontal="right" vertical="center"/>
    </xf>
    <xf numFmtId="49" fontId="53" fillId="0" borderId="7" xfId="14" applyNumberFormat="1" applyFont="1" applyBorder="1" applyAlignment="1">
      <alignment vertical="center" wrapText="1"/>
    </xf>
    <xf numFmtId="0" fontId="13" fillId="4" borderId="0" xfId="14" applyFont="1" applyFill="1" applyBorder="1" applyAlignment="1">
      <alignment vertical="center" wrapText="1"/>
    </xf>
    <xf numFmtId="49" fontId="54" fillId="4" borderId="76" xfId="14" applyNumberFormat="1" applyFont="1" applyFill="1" applyBorder="1" applyAlignment="1">
      <alignment horizontal="center" vertical="center" wrapText="1"/>
    </xf>
    <xf numFmtId="3" fontId="33" fillId="0" borderId="7" xfId="14" applyNumberFormat="1" applyFont="1" applyFill="1" applyBorder="1" applyAlignment="1">
      <alignment horizontal="right" vertical="center"/>
    </xf>
    <xf numFmtId="3" fontId="33" fillId="0" borderId="8" xfId="17" applyNumberFormat="1" applyFont="1" applyFill="1" applyBorder="1" applyAlignment="1">
      <alignment horizontal="right" vertical="center"/>
    </xf>
    <xf numFmtId="10" fontId="33" fillId="0" borderId="77" xfId="14" applyNumberFormat="1" applyFont="1" applyFill="1" applyBorder="1" applyAlignment="1">
      <alignment horizontal="right" vertical="center"/>
    </xf>
    <xf numFmtId="49" fontId="53" fillId="0" borderId="8" xfId="14" applyNumberFormat="1" applyFont="1" applyBorder="1" applyAlignment="1">
      <alignment vertical="center" wrapText="1"/>
    </xf>
    <xf numFmtId="0" fontId="13" fillId="4" borderId="20" xfId="14" applyFont="1" applyFill="1" applyBorder="1" applyAlignment="1">
      <alignment vertical="center" wrapText="1"/>
    </xf>
    <xf numFmtId="49" fontId="54" fillId="4" borderId="82" xfId="14" applyNumberFormat="1" applyFont="1" applyFill="1" applyBorder="1" applyAlignment="1">
      <alignment horizontal="center" vertical="center" wrapText="1"/>
    </xf>
    <xf numFmtId="3" fontId="33" fillId="0" borderId="71" xfId="14" applyNumberFormat="1" applyFont="1" applyFill="1" applyBorder="1" applyAlignment="1">
      <alignment horizontal="right" vertical="center"/>
    </xf>
    <xf numFmtId="10" fontId="33" fillId="0" borderId="71" xfId="14" applyNumberFormat="1" applyFont="1" applyFill="1" applyBorder="1" applyAlignment="1">
      <alignment horizontal="right" vertical="center"/>
    </xf>
    <xf numFmtId="3" fontId="33" fillId="0" borderId="71" xfId="17" applyNumberFormat="1" applyFont="1" applyFill="1" applyBorder="1" applyAlignment="1">
      <alignment horizontal="right" vertical="center"/>
    </xf>
    <xf numFmtId="10" fontId="33" fillId="0" borderId="20" xfId="14" applyNumberFormat="1" applyFont="1" applyFill="1" applyBorder="1" applyAlignment="1">
      <alignment horizontal="right" vertical="center"/>
    </xf>
    <xf numFmtId="49" fontId="8" fillId="11" borderId="75" xfId="14" applyNumberFormat="1" applyFont="1" applyFill="1" applyBorder="1" applyAlignment="1">
      <alignment horizontal="left" vertical="center" wrapText="1"/>
    </xf>
    <xf numFmtId="3" fontId="51" fillId="11" borderId="6" xfId="14" applyNumberFormat="1" applyFont="1" applyFill="1" applyBorder="1" applyAlignment="1">
      <alignment horizontal="right" vertical="center"/>
    </xf>
    <xf numFmtId="10" fontId="55" fillId="11" borderId="6" xfId="14" applyNumberFormat="1" applyFont="1" applyFill="1" applyBorder="1" applyAlignment="1">
      <alignment horizontal="right" vertical="center"/>
    </xf>
    <xf numFmtId="10" fontId="55" fillId="11" borderId="10" xfId="14" applyNumberFormat="1" applyFont="1" applyFill="1" applyBorder="1" applyAlignment="1">
      <alignment horizontal="right" vertical="center"/>
    </xf>
    <xf numFmtId="10" fontId="5" fillId="11" borderId="65" xfId="17" applyNumberFormat="1" applyFont="1" applyFill="1" applyBorder="1" applyAlignment="1">
      <alignment horizontal="right" vertical="center"/>
    </xf>
    <xf numFmtId="49" fontId="15" fillId="0" borderId="75" xfId="14" applyNumberFormat="1" applyFont="1" applyFill="1" applyBorder="1" applyAlignment="1">
      <alignment horizontal="left" vertical="center" wrapText="1"/>
    </xf>
    <xf numFmtId="0" fontId="7" fillId="4" borderId="6" xfId="14" applyFont="1" applyFill="1" applyBorder="1" applyAlignment="1">
      <alignment vertical="center" wrapText="1"/>
    </xf>
    <xf numFmtId="49" fontId="50" fillId="4" borderId="75" xfId="14" applyNumberFormat="1" applyFont="1" applyFill="1" applyBorder="1" applyAlignment="1">
      <alignment horizontal="center" vertical="center" wrapText="1"/>
    </xf>
    <xf numFmtId="10" fontId="32" fillId="3" borderId="7" xfId="17" applyNumberFormat="1" applyFont="1" applyFill="1" applyBorder="1" applyAlignment="1">
      <alignment horizontal="right" vertical="center"/>
    </xf>
    <xf numFmtId="49" fontId="9" fillId="10" borderId="1" xfId="14" applyNumberFormat="1" applyFont="1" applyFill="1" applyBorder="1" applyAlignment="1">
      <alignment horizontal="center" vertical="center" wrapText="1"/>
    </xf>
    <xf numFmtId="0" fontId="52" fillId="10" borderId="1" xfId="14" applyFont="1" applyFill="1" applyBorder="1" applyAlignment="1">
      <alignment vertical="center" wrapText="1"/>
    </xf>
    <xf numFmtId="3" fontId="56" fillId="10" borderId="1" xfId="14" applyNumberFormat="1" applyFont="1" applyFill="1" applyBorder="1" applyAlignment="1">
      <alignment horizontal="right" vertical="center"/>
    </xf>
    <xf numFmtId="10" fontId="56" fillId="10" borderId="9" xfId="14" applyNumberFormat="1" applyFont="1" applyFill="1" applyBorder="1" applyAlignment="1">
      <alignment horizontal="right" vertical="center"/>
    </xf>
    <xf numFmtId="10" fontId="57" fillId="10" borderId="5" xfId="14" applyNumberFormat="1" applyFont="1" applyFill="1" applyBorder="1" applyAlignment="1">
      <alignment horizontal="right" vertical="center"/>
    </xf>
    <xf numFmtId="0" fontId="15" fillId="11" borderId="82" xfId="14" quotePrefix="1" applyFont="1" applyFill="1" applyBorder="1" applyAlignment="1">
      <alignment horizontal="left" vertical="center" wrapText="1"/>
    </xf>
    <xf numFmtId="3" fontId="58" fillId="11" borderId="71" xfId="14" applyNumberFormat="1" applyFont="1" applyFill="1" applyBorder="1" applyAlignment="1">
      <alignment horizontal="right" vertical="center"/>
    </xf>
    <xf numFmtId="10" fontId="58" fillId="11" borderId="71" xfId="14" applyNumberFormat="1" applyFont="1" applyFill="1" applyBorder="1" applyAlignment="1">
      <alignment horizontal="right" vertical="center"/>
    </xf>
    <xf numFmtId="10" fontId="55" fillId="11" borderId="20" xfId="14" applyNumberFormat="1" applyFont="1" applyFill="1" applyBorder="1" applyAlignment="1">
      <alignment horizontal="right" vertical="center"/>
    </xf>
    <xf numFmtId="0" fontId="7" fillId="0" borderId="8" xfId="14" applyFont="1" applyFill="1" applyBorder="1" applyAlignment="1">
      <alignment horizontal="left" vertical="center" wrapText="1"/>
    </xf>
    <xf numFmtId="49" fontId="50" fillId="0" borderId="80" xfId="14" quotePrefix="1" applyNumberFormat="1" applyFont="1" applyFill="1" applyBorder="1" applyAlignment="1">
      <alignment horizontal="center" vertical="center" wrapText="1"/>
    </xf>
    <xf numFmtId="3" fontId="59" fillId="0" borderId="8" xfId="14" applyNumberFormat="1" applyFont="1" applyFill="1" applyBorder="1" applyAlignment="1">
      <alignment horizontal="right" vertical="center"/>
    </xf>
    <xf numFmtId="3" fontId="5" fillId="0" borderId="8" xfId="14" applyNumberFormat="1" applyFont="1" applyFill="1" applyBorder="1" applyAlignment="1">
      <alignment horizontal="right" vertical="center"/>
    </xf>
    <xf numFmtId="0" fontId="7" fillId="0" borderId="81" xfId="14" applyFont="1" applyFill="1" applyBorder="1" applyAlignment="1">
      <alignment vertical="center" wrapText="1"/>
    </xf>
    <xf numFmtId="0" fontId="50" fillId="4" borderId="7" xfId="14" applyFont="1" applyFill="1" applyBorder="1" applyAlignment="1">
      <alignment horizontal="center" vertical="center" wrapText="1"/>
    </xf>
    <xf numFmtId="3" fontId="59" fillId="0" borderId="7" xfId="14" applyNumberFormat="1" applyFont="1" applyFill="1" applyBorder="1" applyAlignment="1">
      <alignment horizontal="right" vertical="center"/>
    </xf>
    <xf numFmtId="10" fontId="59" fillId="0" borderId="71" xfId="14" applyNumberFormat="1" applyFont="1" applyFill="1" applyBorder="1" applyAlignment="1">
      <alignment horizontal="right" vertical="center"/>
    </xf>
    <xf numFmtId="3" fontId="5" fillId="0" borderId="7" xfId="17" applyNumberFormat="1" applyFont="1" applyFill="1" applyBorder="1" applyAlignment="1">
      <alignment horizontal="right" vertical="center"/>
    </xf>
    <xf numFmtId="10" fontId="5" fillId="0" borderId="0" xfId="14" applyNumberFormat="1" applyFont="1" applyFill="1" applyBorder="1" applyAlignment="1">
      <alignment horizontal="left" vertical="center"/>
    </xf>
    <xf numFmtId="0" fontId="7" fillId="0" borderId="12" xfId="14" applyFont="1" applyFill="1" applyBorder="1" applyAlignment="1">
      <alignment vertical="center" wrapText="1"/>
    </xf>
    <xf numFmtId="0" fontId="50" fillId="4" borderId="71" xfId="14" applyFont="1" applyFill="1" applyBorder="1" applyAlignment="1">
      <alignment horizontal="center" vertical="center" wrapText="1"/>
    </xf>
    <xf numFmtId="3" fontId="5" fillId="0" borderId="30" xfId="14" applyNumberFormat="1" applyFont="1" applyFill="1" applyBorder="1" applyAlignment="1">
      <alignment horizontal="right" vertical="center"/>
    </xf>
    <xf numFmtId="3" fontId="5" fillId="0" borderId="30" xfId="17" applyNumberFormat="1" applyFont="1" applyFill="1" applyBorder="1" applyAlignment="1">
      <alignment horizontal="right" vertical="center"/>
    </xf>
    <xf numFmtId="10" fontId="33" fillId="0" borderId="12" xfId="14" applyNumberFormat="1" applyFont="1" applyFill="1" applyBorder="1" applyAlignment="1">
      <alignment horizontal="right" vertical="center"/>
    </xf>
    <xf numFmtId="3" fontId="58" fillId="11" borderId="65" xfId="14" applyNumberFormat="1" applyFont="1" applyFill="1" applyBorder="1" applyAlignment="1">
      <alignment horizontal="right" vertical="center"/>
    </xf>
    <xf numFmtId="49" fontId="60" fillId="3" borderId="1" xfId="14" applyNumberFormat="1" applyFont="1" applyFill="1" applyBorder="1" applyAlignment="1">
      <alignment horizontal="center" vertical="center" wrapText="1"/>
    </xf>
    <xf numFmtId="49" fontId="60" fillId="3" borderId="4" xfId="14" applyNumberFormat="1" applyFont="1" applyFill="1" applyBorder="1" applyAlignment="1">
      <alignment horizontal="center" vertical="center" wrapText="1"/>
    </xf>
    <xf numFmtId="49" fontId="60" fillId="3" borderId="5" xfId="14" applyNumberFormat="1" applyFont="1" applyFill="1" applyBorder="1" applyAlignment="1">
      <alignment horizontal="left" vertical="center" wrapText="1"/>
    </xf>
    <xf numFmtId="49" fontId="60" fillId="3" borderId="3" xfId="14" applyNumberFormat="1" applyFont="1" applyFill="1" applyBorder="1" applyAlignment="1">
      <alignment horizontal="left" vertical="center" wrapText="1"/>
    </xf>
    <xf numFmtId="10" fontId="32" fillId="3" borderId="69" xfId="14" applyNumberFormat="1" applyFont="1" applyFill="1" applyBorder="1" applyAlignment="1">
      <alignment horizontal="right" vertical="center"/>
    </xf>
    <xf numFmtId="10" fontId="32" fillId="3" borderId="1" xfId="17" applyNumberFormat="1" applyFont="1" applyFill="1" applyBorder="1" applyAlignment="1">
      <alignment horizontal="right" vertical="center"/>
    </xf>
    <xf numFmtId="49" fontId="9" fillId="10" borderId="4" xfId="14" applyNumberFormat="1" applyFont="1" applyFill="1" applyBorder="1" applyAlignment="1">
      <alignment horizontal="center" vertical="center" wrapText="1"/>
    </xf>
    <xf numFmtId="0" fontId="7" fillId="0" borderId="71" xfId="14" applyFont="1" applyFill="1" applyBorder="1" applyAlignment="1">
      <alignment vertical="center" wrapText="1"/>
    </xf>
    <xf numFmtId="0" fontId="7" fillId="4" borderId="71" xfId="14" applyFont="1" applyFill="1" applyBorder="1" applyAlignment="1">
      <alignment horizontal="center" vertical="center" wrapText="1"/>
    </xf>
    <xf numFmtId="3" fontId="59" fillId="0" borderId="71" xfId="17" applyNumberFormat="1" applyFont="1" applyFill="1" applyBorder="1" applyAlignment="1">
      <alignment horizontal="right" vertical="center"/>
    </xf>
    <xf numFmtId="10" fontId="5" fillId="0" borderId="20" xfId="14" applyNumberFormat="1" applyFont="1" applyFill="1" applyBorder="1" applyAlignment="1">
      <alignment horizontal="left" vertical="center" wrapText="1"/>
    </xf>
    <xf numFmtId="0" fontId="8" fillId="11" borderId="75" xfId="14" quotePrefix="1" applyFont="1" applyFill="1" applyBorder="1" applyAlignment="1">
      <alignment horizontal="left" vertical="center" wrapText="1"/>
    </xf>
    <xf numFmtId="49" fontId="11" fillId="3" borderId="1" xfId="14" applyNumberFormat="1" applyFont="1" applyFill="1" applyBorder="1" applyAlignment="1">
      <alignment horizontal="center" vertical="center" wrapText="1"/>
    </xf>
    <xf numFmtId="49" fontId="11" fillId="3" borderId="4" xfId="14" applyNumberFormat="1" applyFont="1" applyFill="1" applyBorder="1" applyAlignment="1">
      <alignment horizontal="center" vertical="center" wrapText="1"/>
    </xf>
    <xf numFmtId="49" fontId="11" fillId="3" borderId="3" xfId="14" applyNumberFormat="1" applyFont="1" applyFill="1" applyBorder="1" applyAlignment="1">
      <alignment horizontal="left" vertical="center" wrapText="1"/>
    </xf>
    <xf numFmtId="3" fontId="32" fillId="3" borderId="1" xfId="14" applyNumberFormat="1" applyFont="1" applyFill="1" applyBorder="1" applyAlignment="1">
      <alignment horizontal="right" vertical="center"/>
    </xf>
    <xf numFmtId="10" fontId="32" fillId="3" borderId="1" xfId="14" applyNumberFormat="1" applyFont="1" applyFill="1" applyBorder="1" applyAlignment="1">
      <alignment horizontal="right" vertical="center"/>
    </xf>
    <xf numFmtId="10" fontId="32" fillId="3" borderId="5" xfId="14" applyNumberFormat="1" applyFont="1" applyFill="1" applyBorder="1" applyAlignment="1">
      <alignment horizontal="right" vertical="center"/>
    </xf>
    <xf numFmtId="3" fontId="32" fillId="10" borderId="1" xfId="14" applyNumberFormat="1" applyFont="1" applyFill="1" applyBorder="1" applyAlignment="1">
      <alignment horizontal="right" vertical="center"/>
    </xf>
    <xf numFmtId="10" fontId="32" fillId="10" borderId="1" xfId="14" applyNumberFormat="1" applyFont="1" applyFill="1" applyBorder="1" applyAlignment="1">
      <alignment horizontal="right" vertical="center"/>
    </xf>
    <xf numFmtId="10" fontId="32" fillId="10" borderId="5" xfId="14" applyNumberFormat="1" applyFont="1" applyFill="1" applyBorder="1" applyAlignment="1">
      <alignment horizontal="right" vertical="center"/>
    </xf>
    <xf numFmtId="0" fontId="8" fillId="11" borderId="80" xfId="14" quotePrefix="1" applyFont="1" applyFill="1" applyBorder="1" applyAlignment="1">
      <alignment horizontal="left" vertical="center" wrapText="1"/>
    </xf>
    <xf numFmtId="3" fontId="51" fillId="11" borderId="8" xfId="14" applyNumberFormat="1" applyFont="1" applyFill="1" applyBorder="1" applyAlignment="1">
      <alignment horizontal="right" vertical="center"/>
    </xf>
    <xf numFmtId="10" fontId="51" fillId="11" borderId="8" xfId="14" applyNumberFormat="1" applyFont="1" applyFill="1" applyBorder="1" applyAlignment="1">
      <alignment horizontal="right" vertical="center"/>
    </xf>
    <xf numFmtId="10" fontId="51" fillId="11" borderId="77" xfId="14" applyNumberFormat="1" applyFont="1" applyFill="1" applyBorder="1" applyAlignment="1">
      <alignment horizontal="right" vertical="center"/>
    </xf>
    <xf numFmtId="0" fontId="8" fillId="4" borderId="8" xfId="14" applyFont="1" applyFill="1" applyBorder="1" applyAlignment="1">
      <alignment horizontal="center" vertical="center" wrapText="1"/>
    </xf>
    <xf numFmtId="0" fontId="7" fillId="4" borderId="78" xfId="14" applyFont="1" applyFill="1" applyBorder="1" applyAlignment="1">
      <alignment vertical="center" wrapText="1"/>
    </xf>
    <xf numFmtId="0" fontId="50" fillId="4" borderId="79" xfId="14" applyFont="1" applyFill="1" applyBorder="1" applyAlignment="1">
      <alignment horizontal="center" vertical="center" wrapText="1"/>
    </xf>
    <xf numFmtId="10" fontId="59" fillId="4" borderId="71" xfId="14" applyNumberFormat="1" applyFont="1" applyFill="1" applyBorder="1" applyAlignment="1">
      <alignment horizontal="right" vertical="center"/>
    </xf>
    <xf numFmtId="3" fontId="59" fillId="4" borderId="71" xfId="17" applyNumberFormat="1" applyFont="1" applyFill="1" applyBorder="1" applyAlignment="1">
      <alignment horizontal="right" vertical="center"/>
    </xf>
    <xf numFmtId="10" fontId="5" fillId="4" borderId="20" xfId="14" applyNumberFormat="1" applyFont="1" applyFill="1" applyBorder="1" applyAlignment="1">
      <alignment horizontal="right" vertical="center"/>
    </xf>
    <xf numFmtId="10" fontId="51" fillId="11" borderId="6" xfId="14" applyNumberFormat="1" applyFont="1" applyFill="1" applyBorder="1" applyAlignment="1">
      <alignment horizontal="right" vertical="center"/>
    </xf>
    <xf numFmtId="10" fontId="51" fillId="11" borderId="10" xfId="14" applyNumberFormat="1" applyFont="1" applyFill="1" applyBorder="1" applyAlignment="1">
      <alignment horizontal="right" vertical="center"/>
    </xf>
    <xf numFmtId="49" fontId="11" fillId="3" borderId="68" xfId="14" applyNumberFormat="1" applyFont="1" applyFill="1" applyBorder="1" applyAlignment="1">
      <alignment horizontal="center" vertical="center" wrapText="1"/>
    </xf>
    <xf numFmtId="49" fontId="11" fillId="3" borderId="74" xfId="14" applyNumberFormat="1" applyFont="1" applyFill="1" applyBorder="1" applyAlignment="1">
      <alignment horizontal="left" vertical="center" wrapText="1"/>
    </xf>
    <xf numFmtId="3" fontId="32" fillId="10" borderId="5" xfId="14" applyNumberFormat="1" applyFont="1" applyFill="1" applyBorder="1" applyAlignment="1">
      <alignment horizontal="right" vertical="center"/>
    </xf>
    <xf numFmtId="3" fontId="32" fillId="10" borderId="4" xfId="14" applyNumberFormat="1" applyFont="1" applyFill="1" applyBorder="1" applyAlignment="1">
      <alignment horizontal="right" vertical="center"/>
    </xf>
    <xf numFmtId="0" fontId="8" fillId="11" borderId="7" xfId="14" quotePrefix="1" applyFont="1" applyFill="1" applyBorder="1" applyAlignment="1">
      <alignment horizontal="left" vertical="center" wrapText="1"/>
    </xf>
    <xf numFmtId="3" fontId="51" fillId="11" borderId="0" xfId="14" applyNumberFormat="1" applyFont="1" applyFill="1" applyBorder="1" applyAlignment="1">
      <alignment horizontal="right" vertical="center"/>
    </xf>
    <xf numFmtId="3" fontId="51" fillId="11" borderId="7" xfId="14" applyNumberFormat="1" applyFont="1" applyFill="1" applyBorder="1" applyAlignment="1">
      <alignment horizontal="right" vertical="center"/>
    </xf>
    <xf numFmtId="10" fontId="51" fillId="11" borderId="7" xfId="14" applyNumberFormat="1" applyFont="1" applyFill="1" applyBorder="1" applyAlignment="1">
      <alignment horizontal="right" vertical="center"/>
    </xf>
    <xf numFmtId="3" fontId="51" fillId="11" borderId="81" xfId="14" applyNumberFormat="1" applyFont="1" applyFill="1" applyBorder="1" applyAlignment="1">
      <alignment horizontal="right" vertical="center"/>
    </xf>
    <xf numFmtId="10" fontId="51" fillId="11" borderId="0" xfId="14" applyNumberFormat="1" applyFont="1" applyFill="1" applyBorder="1" applyAlignment="1">
      <alignment horizontal="right" vertical="center"/>
    </xf>
    <xf numFmtId="0" fontId="8" fillId="4" borderId="65" xfId="14" applyFont="1" applyFill="1" applyBorder="1" applyAlignment="1">
      <alignment vertical="center" wrapText="1"/>
    </xf>
    <xf numFmtId="0" fontId="7" fillId="4" borderId="82" xfId="14" quotePrefix="1" applyFont="1" applyFill="1" applyBorder="1" applyAlignment="1">
      <alignment vertical="center" wrapText="1"/>
    </xf>
    <xf numFmtId="0" fontId="7" fillId="4" borderId="71" xfId="14" quotePrefix="1" applyFont="1" applyFill="1" applyBorder="1" applyAlignment="1">
      <alignment horizontal="center" vertical="center" wrapText="1"/>
    </xf>
    <xf numFmtId="3" fontId="5" fillId="0" borderId="20" xfId="14" applyNumberFormat="1" applyFont="1" applyFill="1" applyBorder="1" applyAlignment="1">
      <alignment horizontal="right" vertical="center"/>
    </xf>
    <xf numFmtId="0" fontId="8" fillId="4" borderId="2" xfId="14" applyFont="1" applyFill="1" applyBorder="1" applyAlignment="1">
      <alignment vertical="center" wrapText="1"/>
    </xf>
    <xf numFmtId="0" fontId="7" fillId="4" borderId="20" xfId="14" applyFont="1" applyFill="1" applyBorder="1" applyAlignment="1">
      <alignment vertical="center" wrapText="1"/>
    </xf>
    <xf numFmtId="0" fontId="45" fillId="0" borderId="0" xfId="14" applyFont="1" applyBorder="1"/>
    <xf numFmtId="3" fontId="45" fillId="0" borderId="0" xfId="17" applyNumberFormat="1" applyFont="1" applyBorder="1"/>
    <xf numFmtId="3" fontId="45" fillId="0" borderId="81" xfId="17" applyNumberFormat="1" applyFont="1" applyBorder="1"/>
    <xf numFmtId="0" fontId="8" fillId="11" borderId="71" xfId="14" quotePrefix="1" applyFont="1" applyFill="1" applyBorder="1" applyAlignment="1">
      <alignment horizontal="left" vertical="center" wrapText="1"/>
    </xf>
    <xf numFmtId="3" fontId="51" fillId="11" borderId="20" xfId="14" applyNumberFormat="1" applyFont="1" applyFill="1" applyBorder="1" applyAlignment="1">
      <alignment horizontal="right" vertical="center"/>
    </xf>
    <xf numFmtId="3" fontId="51" fillId="11" borderId="72" xfId="14" applyNumberFormat="1" applyFont="1" applyFill="1" applyBorder="1" applyAlignment="1">
      <alignment horizontal="right" vertical="center"/>
    </xf>
    <xf numFmtId="10" fontId="51" fillId="11" borderId="71" xfId="17" applyNumberFormat="1" applyFont="1" applyFill="1" applyBorder="1" applyAlignment="1">
      <alignment horizontal="right" vertical="center"/>
    </xf>
    <xf numFmtId="0" fontId="8" fillId="4" borderId="6" xfId="14" applyFont="1" applyFill="1" applyBorder="1" applyAlignment="1">
      <alignment vertical="center" wrapText="1"/>
    </xf>
    <xf numFmtId="0" fontId="7" fillId="4" borderId="75" xfId="14" quotePrefix="1" applyFont="1" applyFill="1" applyBorder="1" applyAlignment="1">
      <alignment horizontal="left" vertical="center" wrapText="1"/>
    </xf>
    <xf numFmtId="0" fontId="7" fillId="4" borderId="65" xfId="14" quotePrefix="1" applyFont="1" applyFill="1" applyBorder="1" applyAlignment="1">
      <alignment horizontal="center" vertical="center" wrapText="1"/>
    </xf>
    <xf numFmtId="3" fontId="5" fillId="0" borderId="67" xfId="14" applyNumberFormat="1" applyFont="1" applyFill="1" applyBorder="1" applyAlignment="1">
      <alignment horizontal="right" vertical="center"/>
    </xf>
    <xf numFmtId="3" fontId="5" fillId="0" borderId="65" xfId="14" applyNumberFormat="1" applyFont="1" applyFill="1" applyBorder="1" applyAlignment="1">
      <alignment horizontal="right" vertical="center"/>
    </xf>
    <xf numFmtId="10" fontId="5" fillId="0" borderId="65" xfId="14" applyNumberFormat="1" applyFont="1" applyFill="1" applyBorder="1" applyAlignment="1">
      <alignment horizontal="right" vertical="center"/>
    </xf>
    <xf numFmtId="3" fontId="5" fillId="0" borderId="65" xfId="17" applyNumberFormat="1" applyFont="1" applyFill="1" applyBorder="1" applyAlignment="1">
      <alignment horizontal="right" vertical="center"/>
    </xf>
    <xf numFmtId="10" fontId="5" fillId="0" borderId="67" xfId="14" applyNumberFormat="1" applyFont="1" applyFill="1" applyBorder="1" applyAlignment="1">
      <alignment horizontal="right" vertical="center"/>
    </xf>
    <xf numFmtId="49" fontId="53" fillId="10" borderId="2" xfId="14" applyNumberFormat="1" applyFont="1" applyFill="1" applyBorder="1" applyAlignment="1">
      <alignment horizontal="center" vertical="center" wrapText="1"/>
    </xf>
    <xf numFmtId="0" fontId="53" fillId="10" borderId="2" xfId="14" applyFont="1" applyFill="1" applyBorder="1" applyAlignment="1">
      <alignment vertical="center" wrapText="1"/>
    </xf>
    <xf numFmtId="0" fontId="53" fillId="10" borderId="18" xfId="14" applyFont="1" applyFill="1" applyBorder="1" applyAlignment="1">
      <alignment vertical="center" wrapText="1"/>
    </xf>
    <xf numFmtId="3" fontId="57" fillId="10" borderId="2" xfId="14" applyNumberFormat="1" applyFont="1" applyFill="1" applyBorder="1" applyAlignment="1">
      <alignment horizontal="right" vertical="center"/>
    </xf>
    <xf numFmtId="10" fontId="57" fillId="10" borderId="2" xfId="14" applyNumberFormat="1" applyFont="1" applyFill="1" applyBorder="1" applyAlignment="1">
      <alignment horizontal="right" vertical="center"/>
    </xf>
    <xf numFmtId="3" fontId="57" fillId="10" borderId="81" xfId="17" applyNumberFormat="1" applyFont="1" applyFill="1" applyBorder="1" applyAlignment="1">
      <alignment horizontal="right" vertical="center"/>
    </xf>
    <xf numFmtId="0" fontId="44" fillId="0" borderId="0" xfId="14" applyFont="1" applyBorder="1"/>
    <xf numFmtId="0" fontId="15" fillId="11" borderId="76" xfId="14" quotePrefix="1" applyFont="1" applyFill="1" applyBorder="1" applyAlignment="1">
      <alignment horizontal="left" vertical="center" wrapText="1"/>
    </xf>
    <xf numFmtId="3" fontId="55" fillId="11" borderId="7" xfId="14" applyNumberFormat="1" applyFont="1" applyFill="1" applyBorder="1" applyAlignment="1">
      <alignment horizontal="right" vertical="center"/>
    </xf>
    <xf numFmtId="10" fontId="55" fillId="11" borderId="7" xfId="14" applyNumberFormat="1" applyFont="1" applyFill="1" applyBorder="1" applyAlignment="1">
      <alignment horizontal="right" vertical="center"/>
    </xf>
    <xf numFmtId="3" fontId="55" fillId="11" borderId="81" xfId="17" applyNumberFormat="1" applyFont="1" applyFill="1" applyBorder="1" applyAlignment="1">
      <alignment horizontal="right" vertical="center"/>
    </xf>
    <xf numFmtId="0" fontId="15" fillId="4" borderId="30" xfId="14" applyFont="1" applyFill="1" applyBorder="1" applyAlignment="1">
      <alignment vertical="center" wrapText="1"/>
    </xf>
    <xf numFmtId="0" fontId="13" fillId="4" borderId="58" xfId="14" quotePrefix="1" applyFont="1" applyFill="1" applyBorder="1" applyAlignment="1">
      <alignment vertical="center" wrapText="1"/>
    </xf>
    <xf numFmtId="0" fontId="13" fillId="4" borderId="60" xfId="14" quotePrefix="1" applyFont="1" applyFill="1" applyBorder="1" applyAlignment="1">
      <alignment horizontal="center" vertical="center" wrapText="1"/>
    </xf>
    <xf numFmtId="3" fontId="33" fillId="0" borderId="60" xfId="14" applyNumberFormat="1" applyFont="1" applyFill="1" applyBorder="1" applyAlignment="1">
      <alignment horizontal="right" vertical="center"/>
    </xf>
    <xf numFmtId="10" fontId="33" fillId="0" borderId="59" xfId="14" applyNumberFormat="1" applyFont="1" applyFill="1" applyBorder="1" applyAlignment="1">
      <alignment horizontal="right" vertical="center"/>
    </xf>
    <xf numFmtId="0" fontId="15" fillId="4" borderId="7" xfId="14" applyFont="1" applyFill="1" applyBorder="1" applyAlignment="1">
      <alignment vertical="center" wrapText="1"/>
    </xf>
    <xf numFmtId="0" fontId="15" fillId="4" borderId="8" xfId="14" applyFont="1" applyFill="1" applyBorder="1" applyAlignment="1">
      <alignment vertical="center" wrapText="1"/>
    </xf>
    <xf numFmtId="0" fontId="13" fillId="4" borderId="72" xfId="14" applyFont="1" applyFill="1" applyBorder="1" applyAlignment="1">
      <alignment vertical="center" wrapText="1"/>
    </xf>
    <xf numFmtId="3" fontId="55" fillId="11" borderId="60" xfId="14" applyNumberFormat="1" applyFont="1" applyFill="1" applyBorder="1" applyAlignment="1">
      <alignment horizontal="right" vertical="center"/>
    </xf>
    <xf numFmtId="10" fontId="55" fillId="11" borderId="59" xfId="14" applyNumberFormat="1" applyFont="1" applyFill="1" applyBorder="1" applyAlignment="1">
      <alignment horizontal="right" vertical="center"/>
    </xf>
    <xf numFmtId="0" fontId="15" fillId="4" borderId="73" xfId="14" applyFont="1" applyFill="1" applyBorder="1" applyAlignment="1">
      <alignment vertical="center" wrapText="1"/>
    </xf>
    <xf numFmtId="0" fontId="13" fillId="4" borderId="75" xfId="14" quotePrefix="1" applyFont="1" applyFill="1" applyBorder="1" applyAlignment="1">
      <alignment horizontal="left" vertical="center" wrapText="1"/>
    </xf>
    <xf numFmtId="0" fontId="13" fillId="4" borderId="75" xfId="14" quotePrefix="1" applyFont="1" applyFill="1" applyBorder="1" applyAlignment="1">
      <alignment horizontal="center" vertical="center" wrapText="1"/>
    </xf>
    <xf numFmtId="10" fontId="33" fillId="0" borderId="7" xfId="14" applyNumberFormat="1" applyFont="1" applyFill="1" applyBorder="1" applyAlignment="1">
      <alignment horizontal="right" vertical="center"/>
    </xf>
    <xf numFmtId="0" fontId="60" fillId="3" borderId="1" xfId="14" applyFont="1" applyFill="1" applyBorder="1" applyAlignment="1">
      <alignment horizontal="center" vertical="center" wrapText="1"/>
    </xf>
    <xf numFmtId="0" fontId="60" fillId="3" borderId="4" xfId="14" applyFont="1" applyFill="1" applyBorder="1" applyAlignment="1">
      <alignment horizontal="center" vertical="center" wrapText="1"/>
    </xf>
    <xf numFmtId="0" fontId="60" fillId="3" borderId="1" xfId="14" applyFont="1" applyFill="1" applyBorder="1" applyAlignment="1">
      <alignment vertical="center" wrapText="1"/>
    </xf>
    <xf numFmtId="0" fontId="60" fillId="3" borderId="3" xfId="14" applyFont="1" applyFill="1" applyBorder="1" applyAlignment="1">
      <alignment vertical="center" wrapText="1"/>
    </xf>
    <xf numFmtId="3" fontId="56" fillId="3" borderId="9" xfId="14" applyNumberFormat="1" applyFont="1" applyFill="1" applyBorder="1" applyAlignment="1">
      <alignment horizontal="right" vertical="center"/>
    </xf>
    <xf numFmtId="10" fontId="56" fillId="3" borderId="9" xfId="14" applyNumberFormat="1" applyFont="1" applyFill="1" applyBorder="1" applyAlignment="1">
      <alignment horizontal="right" vertical="center"/>
    </xf>
    <xf numFmtId="10" fontId="57" fillId="3" borderId="69" xfId="14" applyNumberFormat="1" applyFont="1" applyFill="1" applyBorder="1" applyAlignment="1">
      <alignment horizontal="right" vertical="center"/>
    </xf>
    <xf numFmtId="0" fontId="61" fillId="0" borderId="9" xfId="14" applyFont="1" applyBorder="1" applyAlignment="1">
      <alignment vertical="center" wrapText="1"/>
    </xf>
    <xf numFmtId="0" fontId="62" fillId="10" borderId="4" xfId="14" applyFont="1" applyFill="1" applyBorder="1" applyAlignment="1">
      <alignment horizontal="center" vertical="center" wrapText="1"/>
    </xf>
    <xf numFmtId="0" fontId="62" fillId="10" borderId="1" xfId="14" applyFont="1" applyFill="1" applyBorder="1" applyAlignment="1">
      <alignment vertical="center" wrapText="1"/>
    </xf>
    <xf numFmtId="0" fontId="62" fillId="10" borderId="3" xfId="14" applyFont="1" applyFill="1" applyBorder="1" applyAlignment="1">
      <alignment vertical="center" wrapText="1"/>
    </xf>
    <xf numFmtId="10" fontId="57" fillId="10" borderId="69" xfId="14" applyNumberFormat="1" applyFont="1" applyFill="1" applyBorder="1" applyAlignment="1">
      <alignment horizontal="right" vertical="center"/>
    </xf>
    <xf numFmtId="0" fontId="61" fillId="0" borderId="7" xfId="14" applyFont="1" applyBorder="1" applyAlignment="1">
      <alignment vertical="center" wrapText="1"/>
    </xf>
    <xf numFmtId="0" fontId="63" fillId="11" borderId="2" xfId="14" quotePrefix="1" applyFont="1" applyFill="1" applyBorder="1" applyAlignment="1">
      <alignment horizontal="left" vertical="center" wrapText="1"/>
    </xf>
    <xf numFmtId="10" fontId="58" fillId="11" borderId="2" xfId="14" applyNumberFormat="1" applyFont="1" applyFill="1" applyBorder="1" applyAlignment="1">
      <alignment horizontal="right" vertical="center"/>
    </xf>
    <xf numFmtId="10" fontId="55" fillId="11" borderId="17" xfId="14" applyNumberFormat="1" applyFont="1" applyFill="1" applyBorder="1" applyAlignment="1">
      <alignment horizontal="right" vertical="center"/>
    </xf>
    <xf numFmtId="0" fontId="63" fillId="4" borderId="7" xfId="14" applyFont="1" applyFill="1" applyBorder="1" applyAlignment="1">
      <alignment horizontal="center" vertical="center" wrapText="1"/>
    </xf>
    <xf numFmtId="0" fontId="61" fillId="0" borderId="77" xfId="14" applyFont="1" applyFill="1" applyBorder="1" applyAlignment="1">
      <alignment vertical="center"/>
    </xf>
    <xf numFmtId="49" fontId="61" fillId="4" borderId="8" xfId="14" applyNumberFormat="1" applyFont="1" applyFill="1" applyBorder="1" applyAlignment="1">
      <alignment horizontal="center" vertical="center"/>
    </xf>
    <xf numFmtId="10" fontId="59" fillId="0" borderId="8" xfId="14" applyNumberFormat="1" applyFont="1" applyFill="1" applyBorder="1" applyAlignment="1">
      <alignment horizontal="right" vertical="center"/>
    </xf>
    <xf numFmtId="3" fontId="59" fillId="0" borderId="8" xfId="17" applyNumberFormat="1" applyFont="1" applyFill="1" applyBorder="1" applyAlignment="1">
      <alignment horizontal="right" vertical="center"/>
    </xf>
    <xf numFmtId="49" fontId="61" fillId="4" borderId="71" xfId="14" applyNumberFormat="1" applyFont="1" applyFill="1" applyBorder="1" applyAlignment="1">
      <alignment horizontal="center" vertical="center"/>
    </xf>
    <xf numFmtId="0" fontId="64" fillId="0" borderId="8" xfId="14" applyFont="1" applyBorder="1" applyAlignment="1">
      <alignment vertical="center" wrapText="1"/>
    </xf>
    <xf numFmtId="0" fontId="61" fillId="4" borderId="82" xfId="14" applyFont="1" applyFill="1" applyBorder="1" applyAlignment="1">
      <alignment horizontal="left" vertical="center" wrapText="1"/>
    </xf>
    <xf numFmtId="49" fontId="61" fillId="4" borderId="71" xfId="14" applyNumberFormat="1" applyFont="1" applyFill="1" applyBorder="1" applyAlignment="1">
      <alignment horizontal="center" vertical="center" wrapText="1"/>
    </xf>
    <xf numFmtId="0" fontId="61" fillId="0" borderId="8" xfId="14" applyFont="1" applyFill="1" applyBorder="1" applyAlignment="1">
      <alignment vertical="center" wrapText="1"/>
    </xf>
    <xf numFmtId="49" fontId="61" fillId="0" borderId="7" xfId="14" applyNumberFormat="1" applyFont="1" applyFill="1" applyBorder="1" applyAlignment="1">
      <alignment horizontal="center" vertical="center" wrapText="1"/>
    </xf>
    <xf numFmtId="10" fontId="59" fillId="0" borderId="7" xfId="14" applyNumberFormat="1" applyFont="1" applyFill="1" applyBorder="1" applyAlignment="1">
      <alignment horizontal="right" vertical="center"/>
    </xf>
    <xf numFmtId="3" fontId="59" fillId="0" borderId="7" xfId="17" applyNumberFormat="1" applyFont="1" applyFill="1" applyBorder="1" applyAlignment="1">
      <alignment horizontal="right" vertical="center"/>
    </xf>
    <xf numFmtId="3" fontId="5" fillId="0" borderId="8" xfId="17" applyNumberFormat="1" applyFont="1" applyFill="1" applyBorder="1" applyAlignment="1">
      <alignment horizontal="right" vertical="center"/>
    </xf>
    <xf numFmtId="10" fontId="33" fillId="0" borderId="0" xfId="14" applyNumberFormat="1" applyFont="1" applyFill="1" applyBorder="1" applyAlignment="1">
      <alignment horizontal="right" vertical="center"/>
    </xf>
    <xf numFmtId="10" fontId="5" fillId="0" borderId="8" xfId="17" applyNumberFormat="1" applyFont="1" applyFill="1" applyBorder="1" applyAlignment="1">
      <alignment horizontal="right" vertical="center"/>
    </xf>
    <xf numFmtId="0" fontId="61" fillId="0" borderId="71" xfId="14" applyFont="1" applyFill="1" applyBorder="1" applyAlignment="1">
      <alignment vertical="center" wrapText="1"/>
    </xf>
    <xf numFmtId="49" fontId="61" fillId="4" borderId="30" xfId="14" applyNumberFormat="1" applyFont="1" applyFill="1" applyBorder="1" applyAlignment="1">
      <alignment horizontal="center" vertical="center" wrapText="1"/>
    </xf>
    <xf numFmtId="10" fontId="59" fillId="0" borderId="30" xfId="14" applyNumberFormat="1" applyFont="1" applyFill="1" applyBorder="1" applyAlignment="1">
      <alignment horizontal="right" vertical="center"/>
    </xf>
    <xf numFmtId="3" fontId="59" fillId="0" borderId="30" xfId="17" applyNumberFormat="1" applyFont="1" applyFill="1" applyBorder="1" applyAlignment="1">
      <alignment horizontal="right" vertical="center"/>
    </xf>
    <xf numFmtId="0" fontId="61" fillId="0" borderId="6" xfId="14" applyFont="1" applyBorder="1" applyAlignment="1">
      <alignment vertical="center" wrapText="1"/>
    </xf>
    <xf numFmtId="0" fontId="63" fillId="4" borderId="6" xfId="14" applyFont="1" applyFill="1" applyBorder="1" applyAlignment="1">
      <alignment horizontal="center" vertical="center" wrapText="1"/>
    </xf>
    <xf numFmtId="0" fontId="61" fillId="0" borderId="65" xfId="14" applyFont="1" applyFill="1" applyBorder="1" applyAlignment="1">
      <alignment vertical="center" wrapText="1"/>
    </xf>
    <xf numFmtId="49" fontId="61" fillId="4" borderId="65" xfId="14" applyNumberFormat="1" applyFont="1" applyFill="1" applyBorder="1" applyAlignment="1">
      <alignment horizontal="center" vertical="center" wrapText="1"/>
    </xf>
    <xf numFmtId="10" fontId="59" fillId="0" borderId="65" xfId="14" applyNumberFormat="1" applyFont="1" applyFill="1" applyBorder="1" applyAlignment="1">
      <alignment horizontal="right" vertical="center"/>
    </xf>
    <xf numFmtId="3" fontId="59" fillId="0" borderId="65" xfId="17" applyNumberFormat="1" applyFont="1" applyFill="1" applyBorder="1" applyAlignment="1">
      <alignment horizontal="right" vertical="center"/>
    </xf>
    <xf numFmtId="10" fontId="33" fillId="0" borderId="67" xfId="14" applyNumberFormat="1" applyFont="1" applyFill="1" applyBorder="1" applyAlignment="1">
      <alignment horizontal="right" vertical="center"/>
    </xf>
    <xf numFmtId="10" fontId="5" fillId="0" borderId="65" xfId="17" applyNumberFormat="1" applyFont="1" applyFill="1" applyBorder="1" applyAlignment="1">
      <alignment horizontal="right" vertical="center"/>
    </xf>
    <xf numFmtId="49" fontId="61" fillId="4" borderId="7" xfId="14" applyNumberFormat="1" applyFont="1" applyFill="1" applyBorder="1" applyAlignment="1">
      <alignment horizontal="center" vertical="center" wrapText="1"/>
    </xf>
    <xf numFmtId="10" fontId="32" fillId="3" borderId="8" xfId="17" applyNumberFormat="1" applyFont="1" applyFill="1" applyBorder="1" applyAlignment="1">
      <alignment horizontal="right" vertical="center"/>
    </xf>
    <xf numFmtId="0" fontId="63" fillId="11" borderId="71" xfId="14" applyFont="1" applyFill="1" applyBorder="1" applyAlignment="1">
      <alignment horizontal="left" vertical="center" wrapText="1"/>
    </xf>
    <xf numFmtId="0" fontId="15" fillId="0" borderId="6" xfId="14" applyFont="1" applyFill="1" applyBorder="1" applyAlignment="1">
      <alignment horizontal="center" vertical="center" wrapText="1"/>
    </xf>
    <xf numFmtId="0" fontId="13" fillId="0" borderId="6" xfId="14" applyFont="1" applyFill="1" applyBorder="1" applyAlignment="1">
      <alignment horizontal="center" vertical="center" wrapText="1"/>
    </xf>
    <xf numFmtId="0" fontId="15" fillId="0" borderId="73" xfId="14" applyFont="1" applyFill="1" applyBorder="1" applyAlignment="1">
      <alignment horizontal="center" vertical="center" wrapText="1"/>
    </xf>
    <xf numFmtId="0" fontId="7" fillId="0" borderId="75" xfId="14" applyFont="1" applyFill="1" applyBorder="1" applyAlignment="1">
      <alignment horizontal="center" vertical="center" wrapText="1"/>
    </xf>
    <xf numFmtId="3" fontId="59" fillId="0" borderId="6" xfId="14" applyNumberFormat="1" applyFont="1" applyFill="1" applyBorder="1" applyAlignment="1">
      <alignment horizontal="right" vertical="center"/>
    </xf>
    <xf numFmtId="3" fontId="5" fillId="0" borderId="6" xfId="17" applyNumberFormat="1" applyFont="1" applyFill="1" applyBorder="1" applyAlignment="1">
      <alignment horizontal="right" vertical="center"/>
    </xf>
    <xf numFmtId="10" fontId="5" fillId="0" borderId="30" xfId="17" applyNumberFormat="1" applyFont="1" applyFill="1" applyBorder="1" applyAlignment="1">
      <alignment horizontal="right" vertical="center"/>
    </xf>
    <xf numFmtId="10" fontId="56" fillId="10" borderId="1" xfId="14" applyNumberFormat="1" applyFont="1" applyFill="1" applyBorder="1" applyAlignment="1">
      <alignment horizontal="right" vertical="center"/>
    </xf>
    <xf numFmtId="10" fontId="59" fillId="11" borderId="8" xfId="14" applyNumberFormat="1" applyFont="1" applyFill="1" applyBorder="1" applyAlignment="1">
      <alignment horizontal="right" vertical="center"/>
    </xf>
    <xf numFmtId="10" fontId="33" fillId="11" borderId="77" xfId="14" applyNumberFormat="1" applyFont="1" applyFill="1" applyBorder="1" applyAlignment="1">
      <alignment horizontal="right" vertical="center"/>
    </xf>
    <xf numFmtId="10" fontId="59" fillId="11" borderId="71" xfId="14" applyNumberFormat="1" applyFont="1" applyFill="1" applyBorder="1" applyAlignment="1">
      <alignment horizontal="right" vertical="center"/>
    </xf>
    <xf numFmtId="10" fontId="33" fillId="11" borderId="20" xfId="14" applyNumberFormat="1" applyFont="1" applyFill="1" applyBorder="1" applyAlignment="1">
      <alignment horizontal="right" vertical="center"/>
    </xf>
    <xf numFmtId="0" fontId="61" fillId="0" borderId="71" xfId="14" applyFont="1" applyFill="1" applyBorder="1" applyAlignment="1">
      <alignment horizontal="left" vertical="center" wrapText="1"/>
    </xf>
    <xf numFmtId="0" fontId="61" fillId="0" borderId="71" xfId="14" applyFont="1" applyFill="1" applyBorder="1" applyAlignment="1">
      <alignment horizontal="center" vertical="center" wrapText="1"/>
    </xf>
    <xf numFmtId="0" fontId="61" fillId="0" borderId="10" xfId="14" applyFont="1" applyFill="1" applyBorder="1" applyAlignment="1">
      <alignment horizontal="left" vertical="center" wrapText="1"/>
    </xf>
    <xf numFmtId="0" fontId="61" fillId="4" borderId="75" xfId="14" applyFont="1" applyFill="1" applyBorder="1" applyAlignment="1">
      <alignment horizontal="center" vertical="center" wrapText="1"/>
    </xf>
    <xf numFmtId="3" fontId="59" fillId="0" borderId="65" xfId="14" applyNumberFormat="1" applyFont="1" applyFill="1" applyBorder="1" applyAlignment="1">
      <alignment horizontal="right" vertical="center"/>
    </xf>
    <xf numFmtId="0" fontId="63" fillId="11" borderId="18" xfId="14" quotePrefix="1" applyFont="1" applyFill="1" applyBorder="1" applyAlignment="1">
      <alignment horizontal="left" vertical="center" wrapText="1"/>
    </xf>
    <xf numFmtId="0" fontId="61" fillId="0" borderId="77" xfId="14" applyFont="1" applyFill="1" applyBorder="1" applyAlignment="1">
      <alignment vertical="center" wrapText="1"/>
    </xf>
    <xf numFmtId="49" fontId="61" fillId="4" borderId="80" xfId="14" applyNumberFormat="1" applyFont="1" applyFill="1" applyBorder="1" applyAlignment="1">
      <alignment horizontal="center" vertical="center" wrapText="1"/>
    </xf>
    <xf numFmtId="0" fontId="61" fillId="0" borderId="20" xfId="14" applyFont="1" applyFill="1" applyBorder="1" applyAlignment="1">
      <alignment vertical="center" wrapText="1"/>
    </xf>
    <xf numFmtId="49" fontId="61" fillId="4" borderId="82" xfId="14" applyNumberFormat="1" applyFont="1" applyFill="1" applyBorder="1" applyAlignment="1">
      <alignment horizontal="center" vertical="center" wrapText="1"/>
    </xf>
    <xf numFmtId="0" fontId="63" fillId="11" borderId="75" xfId="14" quotePrefix="1" applyFont="1" applyFill="1" applyBorder="1" applyAlignment="1">
      <alignment horizontal="left" vertical="center" wrapText="1"/>
    </xf>
    <xf numFmtId="10" fontId="58" fillId="11" borderId="65" xfId="14" applyNumberFormat="1" applyFont="1" applyFill="1" applyBorder="1" applyAlignment="1">
      <alignment horizontal="right" vertical="center"/>
    </xf>
    <xf numFmtId="10" fontId="55" fillId="11" borderId="67" xfId="14" applyNumberFormat="1" applyFont="1" applyFill="1" applyBorder="1" applyAlignment="1">
      <alignment horizontal="right" vertical="center"/>
    </xf>
    <xf numFmtId="0" fontId="63" fillId="11" borderId="76" xfId="14" quotePrefix="1" applyFont="1" applyFill="1" applyBorder="1" applyAlignment="1">
      <alignment horizontal="left" vertical="center" wrapText="1"/>
    </xf>
    <xf numFmtId="10" fontId="58" fillId="11" borderId="9" xfId="14" applyNumberFormat="1" applyFont="1" applyFill="1" applyBorder="1" applyAlignment="1">
      <alignment horizontal="right" vertical="center"/>
    </xf>
    <xf numFmtId="10" fontId="55" fillId="11" borderId="69" xfId="14" applyNumberFormat="1" applyFont="1" applyFill="1" applyBorder="1" applyAlignment="1">
      <alignment horizontal="right" vertical="center"/>
    </xf>
    <xf numFmtId="0" fontId="61" fillId="0" borderId="78" xfId="14" applyFont="1" applyFill="1" applyBorder="1" applyAlignment="1">
      <alignment horizontal="left" vertical="center" wrapText="1"/>
    </xf>
    <xf numFmtId="49" fontId="61" fillId="4" borderId="82" xfId="14" quotePrefix="1" applyNumberFormat="1" applyFont="1" applyFill="1" applyBorder="1" applyAlignment="1">
      <alignment horizontal="center" vertical="center" wrapText="1"/>
    </xf>
    <xf numFmtId="10" fontId="58" fillId="4" borderId="71" xfId="14" applyNumberFormat="1" applyFont="1" applyFill="1" applyBorder="1" applyAlignment="1">
      <alignment horizontal="right" vertical="center"/>
    </xf>
    <xf numFmtId="3" fontId="58" fillId="4" borderId="71" xfId="17" applyNumberFormat="1" applyFont="1" applyFill="1" applyBorder="1" applyAlignment="1">
      <alignment horizontal="right" vertical="center"/>
    </xf>
    <xf numFmtId="10" fontId="55" fillId="4" borderId="20" xfId="14" applyNumberFormat="1" applyFont="1" applyFill="1" applyBorder="1" applyAlignment="1">
      <alignment horizontal="right" vertical="center"/>
    </xf>
    <xf numFmtId="0" fontId="61" fillId="0" borderId="12" xfId="14" applyFont="1" applyFill="1" applyBorder="1" applyAlignment="1">
      <alignment horizontal="left" vertical="center" wrapText="1"/>
    </xf>
    <xf numFmtId="49" fontId="61" fillId="4" borderId="79" xfId="14" quotePrefix="1" applyNumberFormat="1" applyFont="1" applyFill="1" applyBorder="1" applyAlignment="1">
      <alignment horizontal="center" vertical="center" wrapText="1"/>
    </xf>
    <xf numFmtId="0" fontId="63" fillId="11" borderId="29" xfId="14" quotePrefix="1" applyFont="1" applyFill="1" applyBorder="1" applyAlignment="1">
      <alignment horizontal="left" vertical="center" wrapText="1"/>
    </xf>
    <xf numFmtId="10" fontId="58" fillId="11" borderId="6" xfId="14" applyNumberFormat="1" applyFont="1" applyFill="1" applyBorder="1" applyAlignment="1">
      <alignment horizontal="right" vertical="center"/>
    </xf>
    <xf numFmtId="0" fontId="62" fillId="10" borderId="1" xfId="14" applyFont="1" applyFill="1" applyBorder="1" applyAlignment="1">
      <alignment horizontal="center" vertical="center" wrapText="1"/>
    </xf>
    <xf numFmtId="3" fontId="56" fillId="10" borderId="9" xfId="14" applyNumberFormat="1" applyFont="1" applyFill="1" applyBorder="1" applyAlignment="1">
      <alignment horizontal="right" vertical="center"/>
    </xf>
    <xf numFmtId="3" fontId="58" fillId="11" borderId="2" xfId="14" applyNumberFormat="1" applyFont="1" applyFill="1" applyBorder="1" applyAlignment="1">
      <alignment horizontal="right" vertical="center"/>
    </xf>
    <xf numFmtId="0" fontId="65" fillId="4" borderId="7" xfId="14" applyFont="1" applyFill="1" applyBorder="1" applyAlignment="1">
      <alignment vertical="center" wrapText="1"/>
    </xf>
    <xf numFmtId="49" fontId="61" fillId="4" borderId="71" xfId="14" quotePrefix="1" applyNumberFormat="1" applyFont="1" applyFill="1" applyBorder="1" applyAlignment="1">
      <alignment horizontal="center" vertical="center" wrapText="1"/>
    </xf>
    <xf numFmtId="3" fontId="59" fillId="0" borderId="71" xfId="14" applyNumberFormat="1" applyFont="1" applyFill="1" applyBorder="1" applyAlignment="1">
      <alignment horizontal="right" vertical="center"/>
    </xf>
    <xf numFmtId="0" fontId="66" fillId="4" borderId="82" xfId="14" applyFont="1" applyFill="1" applyBorder="1" applyAlignment="1">
      <alignment horizontal="left" vertical="center" wrapText="1"/>
    </xf>
    <xf numFmtId="49" fontId="66" fillId="4" borderId="8" xfId="14" applyNumberFormat="1" applyFont="1" applyFill="1" applyBorder="1" applyAlignment="1">
      <alignment horizontal="center" vertical="center" wrapText="1"/>
    </xf>
    <xf numFmtId="0" fontId="61" fillId="4" borderId="77" xfId="14" applyFont="1" applyFill="1" applyBorder="1" applyAlignment="1">
      <alignment horizontal="left" vertical="center" wrapText="1"/>
    </xf>
    <xf numFmtId="0" fontId="65" fillId="4" borderId="8" xfId="14" applyFont="1" applyFill="1" applyBorder="1" applyAlignment="1">
      <alignment vertical="center" wrapText="1"/>
    </xf>
    <xf numFmtId="0" fontId="66" fillId="0" borderId="77" xfId="14" applyFont="1" applyFill="1" applyBorder="1" applyAlignment="1">
      <alignment horizontal="left" vertical="center" wrapText="1"/>
    </xf>
    <xf numFmtId="49" fontId="66" fillId="4" borderId="80" xfId="14" applyNumberFormat="1" applyFont="1" applyFill="1" applyBorder="1" applyAlignment="1">
      <alignment horizontal="center" vertical="center" wrapText="1"/>
    </xf>
    <xf numFmtId="0" fontId="65" fillId="11" borderId="80" xfId="14" quotePrefix="1" applyFont="1" applyFill="1" applyBorder="1" applyAlignment="1">
      <alignment horizontal="left" vertical="center" wrapText="1"/>
    </xf>
    <xf numFmtId="3" fontId="58" fillId="11" borderId="8" xfId="14" applyNumberFormat="1" applyFont="1" applyFill="1" applyBorder="1" applyAlignment="1">
      <alignment horizontal="right" vertical="center"/>
    </xf>
    <xf numFmtId="0" fontId="61" fillId="0" borderId="7" xfId="14" applyFont="1" applyBorder="1" applyAlignment="1">
      <alignment horizontal="center" vertical="center" wrapText="1"/>
    </xf>
    <xf numFmtId="0" fontId="63" fillId="0" borderId="76" xfId="14" applyFont="1" applyFill="1" applyBorder="1" applyAlignment="1">
      <alignment horizontal="left" vertical="center" wrapText="1"/>
    </xf>
    <xf numFmtId="0" fontId="61" fillId="0" borderId="71" xfId="14" quotePrefix="1" applyFont="1" applyFill="1" applyBorder="1" applyAlignment="1">
      <alignment horizontal="center" vertical="center" wrapText="1"/>
    </xf>
    <xf numFmtId="3" fontId="59" fillId="0" borderId="20" xfId="14" applyNumberFormat="1" applyFont="1" applyFill="1" applyBorder="1" applyAlignment="1">
      <alignment horizontal="right" vertical="center"/>
    </xf>
    <xf numFmtId="10" fontId="55" fillId="11" borderId="77" xfId="14" applyNumberFormat="1" applyFont="1" applyFill="1" applyBorder="1" applyAlignment="1">
      <alignment horizontal="right" vertical="center"/>
    </xf>
    <xf numFmtId="0" fontId="61" fillId="4" borderId="76" xfId="14" quotePrefix="1" applyFont="1" applyFill="1" applyBorder="1" applyAlignment="1">
      <alignment horizontal="left" vertical="center" wrapText="1"/>
    </xf>
    <xf numFmtId="3" fontId="59" fillId="4" borderId="7" xfId="14" applyNumberFormat="1" applyFont="1" applyFill="1" applyBorder="1" applyAlignment="1">
      <alignment horizontal="right" vertical="center"/>
    </xf>
    <xf numFmtId="10" fontId="59" fillId="4" borderId="8" xfId="14" applyNumberFormat="1" applyFont="1" applyFill="1" applyBorder="1" applyAlignment="1">
      <alignment horizontal="right" vertical="center"/>
    </xf>
    <xf numFmtId="3" fontId="59" fillId="4" borderId="8" xfId="17" applyNumberFormat="1" applyFont="1" applyFill="1" applyBorder="1" applyAlignment="1">
      <alignment horizontal="right" vertical="center"/>
    </xf>
    <xf numFmtId="10" fontId="33" fillId="4" borderId="77" xfId="14" applyNumberFormat="1" applyFont="1" applyFill="1" applyBorder="1" applyAlignment="1">
      <alignment horizontal="right" vertical="center"/>
    </xf>
    <xf numFmtId="0" fontId="44" fillId="0" borderId="0" xfId="14" applyFont="1"/>
    <xf numFmtId="0" fontId="61" fillId="4" borderId="82" xfId="14" quotePrefix="1" applyFont="1" applyFill="1" applyBorder="1" applyAlignment="1">
      <alignment horizontal="left" vertical="center" wrapText="1"/>
    </xf>
    <xf numFmtId="3" fontId="59" fillId="4" borderId="71" xfId="14" applyNumberFormat="1" applyFont="1" applyFill="1" applyBorder="1" applyAlignment="1">
      <alignment horizontal="right" vertical="center"/>
    </xf>
    <xf numFmtId="3" fontId="12" fillId="0" borderId="0" xfId="14" applyNumberFormat="1"/>
    <xf numFmtId="0" fontId="66" fillId="0" borderId="7" xfId="14" applyFont="1" applyBorder="1" applyAlignment="1">
      <alignment horizontal="center" vertical="center" wrapText="1"/>
    </xf>
    <xf numFmtId="3" fontId="59" fillId="4" borderId="72" xfId="14" applyNumberFormat="1" applyFont="1" applyFill="1" applyBorder="1" applyAlignment="1">
      <alignment horizontal="right" vertical="center"/>
    </xf>
    <xf numFmtId="0" fontId="61" fillId="4" borderId="82" xfId="14" applyFont="1" applyFill="1" applyBorder="1" applyAlignment="1">
      <alignment vertical="center" wrapText="1"/>
    </xf>
    <xf numFmtId="49" fontId="66" fillId="4" borderId="71" xfId="14" quotePrefix="1" applyNumberFormat="1" applyFont="1" applyFill="1" applyBorder="1" applyAlignment="1">
      <alignment horizontal="center" vertical="center" wrapText="1"/>
    </xf>
    <xf numFmtId="10" fontId="59" fillId="0" borderId="67" xfId="14" applyNumberFormat="1" applyFont="1" applyFill="1" applyBorder="1" applyAlignment="1">
      <alignment horizontal="right" vertical="center"/>
    </xf>
    <xf numFmtId="0" fontId="66" fillId="0" borderId="7" xfId="14" applyFont="1" applyBorder="1" applyAlignment="1">
      <alignment vertical="center" wrapText="1"/>
    </xf>
    <xf numFmtId="0" fontId="63" fillId="4" borderId="7" xfId="14" applyFont="1" applyFill="1" applyBorder="1" applyAlignment="1">
      <alignment vertical="center" wrapText="1"/>
    </xf>
    <xf numFmtId="0" fontId="61" fillId="4" borderId="80" xfId="14" applyFont="1" applyFill="1" applyBorder="1" applyAlignment="1">
      <alignment vertical="center" wrapText="1"/>
    </xf>
    <xf numFmtId="0" fontId="66" fillId="0" borderId="8" xfId="14" applyFont="1" applyFill="1" applyBorder="1" applyAlignment="1">
      <alignment horizontal="center" vertical="center" wrapText="1"/>
    </xf>
    <xf numFmtId="3" fontId="59" fillId="0" borderId="16" xfId="14" applyNumberFormat="1" applyFont="1" applyFill="1" applyBorder="1" applyAlignment="1">
      <alignment horizontal="right" vertical="center"/>
    </xf>
    <xf numFmtId="0" fontId="66" fillId="4" borderId="0" xfId="14" applyFont="1" applyFill="1" applyBorder="1" applyAlignment="1">
      <alignment vertical="center" wrapText="1"/>
    </xf>
    <xf numFmtId="0" fontId="66" fillId="4" borderId="12" xfId="14" applyFont="1" applyFill="1" applyBorder="1" applyAlignment="1">
      <alignment vertical="center" wrapText="1"/>
    </xf>
    <xf numFmtId="3" fontId="59" fillId="0" borderId="72" xfId="14" applyNumberFormat="1" applyFont="1" applyFill="1" applyBorder="1" applyAlignment="1">
      <alignment horizontal="right" vertical="center"/>
    </xf>
    <xf numFmtId="0" fontId="66" fillId="0" borderId="82" xfId="14" applyFont="1" applyFill="1" applyBorder="1" applyAlignment="1">
      <alignment vertical="center" wrapText="1"/>
    </xf>
    <xf numFmtId="0" fontId="66" fillId="0" borderId="71" xfId="14" applyFont="1" applyFill="1" applyBorder="1" applyAlignment="1">
      <alignment horizontal="center" vertical="center" wrapText="1"/>
    </xf>
    <xf numFmtId="3" fontId="33" fillId="0" borderId="72" xfId="14" applyNumberFormat="1" applyFont="1" applyFill="1" applyBorder="1" applyAlignment="1">
      <alignment horizontal="right" vertical="center"/>
    </xf>
    <xf numFmtId="0" fontId="66" fillId="4" borderId="71" xfId="14" applyFont="1" applyFill="1" applyBorder="1" applyAlignment="1">
      <alignment vertical="center" wrapText="1"/>
    </xf>
    <xf numFmtId="0" fontId="61" fillId="4" borderId="82" xfId="14" applyFont="1" applyFill="1" applyBorder="1" applyAlignment="1">
      <alignment horizontal="center" vertical="center" wrapText="1"/>
    </xf>
    <xf numFmtId="0" fontId="61" fillId="4" borderId="7" xfId="14" applyFont="1" applyFill="1" applyBorder="1" applyAlignment="1">
      <alignment vertical="center" wrapText="1"/>
    </xf>
    <xf numFmtId="0" fontId="61" fillId="4" borderId="76" xfId="14" applyFont="1" applyFill="1" applyBorder="1" applyAlignment="1">
      <alignment horizontal="center" vertical="center" wrapText="1"/>
    </xf>
    <xf numFmtId="0" fontId="12" fillId="0" borderId="0" xfId="14" applyBorder="1"/>
    <xf numFmtId="0" fontId="61" fillId="4" borderId="71" xfId="14" applyFont="1" applyFill="1" applyBorder="1" applyAlignment="1">
      <alignment vertical="center" wrapText="1"/>
    </xf>
    <xf numFmtId="0" fontId="61" fillId="4" borderId="71" xfId="14" applyFont="1" applyFill="1" applyBorder="1" applyAlignment="1">
      <alignment horizontal="center" vertical="center" wrapText="1"/>
    </xf>
    <xf numFmtId="0" fontId="12" fillId="0" borderId="12" xfId="14" applyBorder="1"/>
    <xf numFmtId="0" fontId="66" fillId="0" borderId="6" xfId="14" applyFont="1" applyBorder="1" applyAlignment="1">
      <alignment vertical="center" wrapText="1"/>
    </xf>
    <xf numFmtId="0" fontId="63" fillId="4" borderId="6" xfId="14" applyFont="1" applyFill="1" applyBorder="1" applyAlignment="1">
      <alignment vertical="center" wrapText="1"/>
    </xf>
    <xf numFmtId="0" fontId="61" fillId="4" borderId="6" xfId="14" applyFont="1" applyFill="1" applyBorder="1" applyAlignment="1">
      <alignment vertical="center" wrapText="1"/>
    </xf>
    <xf numFmtId="3" fontId="59" fillId="0" borderId="6" xfId="17" applyNumberFormat="1" applyFont="1" applyFill="1" applyBorder="1" applyAlignment="1">
      <alignment horizontal="right" vertical="center"/>
    </xf>
    <xf numFmtId="0" fontId="62" fillId="10" borderId="10" xfId="14" applyFont="1" applyFill="1" applyBorder="1" applyAlignment="1">
      <alignment horizontal="center" vertical="center" wrapText="1"/>
    </xf>
    <xf numFmtId="0" fontId="62" fillId="10" borderId="6" xfId="14" applyFont="1" applyFill="1" applyBorder="1" applyAlignment="1">
      <alignment horizontal="left" vertical="center" wrapText="1"/>
    </xf>
    <xf numFmtId="0" fontId="61" fillId="10" borderId="75" xfId="14" quotePrefix="1" applyFont="1" applyFill="1" applyBorder="1" applyAlignment="1">
      <alignment horizontal="center" vertical="center" wrapText="1"/>
    </xf>
    <xf numFmtId="3" fontId="57" fillId="10" borderId="6" xfId="14" applyNumberFormat="1" applyFont="1" applyFill="1" applyBorder="1" applyAlignment="1">
      <alignment horizontal="right" vertical="center"/>
    </xf>
    <xf numFmtId="10" fontId="57" fillId="10" borderId="6" xfId="14" applyNumberFormat="1" applyFont="1" applyFill="1" applyBorder="1" applyAlignment="1">
      <alignment horizontal="right" vertical="center"/>
    </xf>
    <xf numFmtId="0" fontId="61" fillId="11" borderId="74" xfId="14" quotePrefix="1" applyFont="1" applyFill="1" applyBorder="1" applyAlignment="1">
      <alignment horizontal="center" vertical="center" wrapText="1"/>
    </xf>
    <xf numFmtId="3" fontId="33" fillId="11" borderId="9" xfId="14" applyNumberFormat="1" applyFont="1" applyFill="1" applyBorder="1" applyAlignment="1">
      <alignment horizontal="right" vertical="center"/>
    </xf>
    <xf numFmtId="10" fontId="33" fillId="11" borderId="9" xfId="14" applyNumberFormat="1" applyFont="1" applyFill="1" applyBorder="1" applyAlignment="1">
      <alignment horizontal="right" vertical="center"/>
    </xf>
    <xf numFmtId="3" fontId="33" fillId="11" borderId="81" xfId="17" applyNumberFormat="1" applyFont="1" applyFill="1" applyBorder="1" applyAlignment="1">
      <alignment horizontal="right" vertical="center"/>
    </xf>
    <xf numFmtId="0" fontId="63" fillId="4" borderId="71" xfId="14" applyFont="1" applyFill="1" applyBorder="1" applyAlignment="1">
      <alignment vertical="center" wrapText="1"/>
    </xf>
    <xf numFmtId="0" fontId="61" fillId="0" borderId="8" xfId="14" applyFont="1" applyFill="1" applyBorder="1" applyAlignment="1">
      <alignment horizontal="left" vertical="center" wrapText="1"/>
    </xf>
    <xf numFmtId="0" fontId="61" fillId="11" borderId="29" xfId="14" quotePrefix="1" applyFont="1" applyFill="1" applyBorder="1" applyAlignment="1">
      <alignment horizontal="center" vertical="center" wrapText="1"/>
    </xf>
    <xf numFmtId="3" fontId="55" fillId="11" borderId="65" xfId="14" applyNumberFormat="1" applyFont="1" applyFill="1" applyBorder="1" applyAlignment="1">
      <alignment horizontal="right" vertical="center"/>
    </xf>
    <xf numFmtId="10" fontId="55" fillId="11" borderId="65" xfId="14" applyNumberFormat="1" applyFont="1" applyFill="1" applyBorder="1" applyAlignment="1">
      <alignment horizontal="right" vertical="center"/>
    </xf>
    <xf numFmtId="0" fontId="62" fillId="10" borderId="5" xfId="14" applyFont="1" applyFill="1" applyBorder="1" applyAlignment="1">
      <alignment horizontal="center" vertical="center" wrapText="1"/>
    </xf>
    <xf numFmtId="0" fontId="62" fillId="10" borderId="1" xfId="14" applyFont="1" applyFill="1" applyBorder="1" applyAlignment="1">
      <alignment horizontal="left" vertical="center" wrapText="1"/>
    </xf>
    <xf numFmtId="0" fontId="61" fillId="10" borderId="3" xfId="14" quotePrefix="1" applyFont="1" applyFill="1" applyBorder="1" applyAlignment="1">
      <alignment horizontal="center" vertical="center" wrapText="1"/>
    </xf>
    <xf numFmtId="3" fontId="5" fillId="11" borderId="9" xfId="14" applyNumberFormat="1" applyFont="1" applyFill="1" applyBorder="1" applyAlignment="1">
      <alignment horizontal="right" vertical="center"/>
    </xf>
    <xf numFmtId="0" fontId="63" fillId="4" borderId="30" xfId="14" applyFont="1" applyFill="1" applyBorder="1" applyAlignment="1">
      <alignment vertical="center" wrapText="1"/>
    </xf>
    <xf numFmtId="0" fontId="61" fillId="4" borderId="71" xfId="14" quotePrefix="1" applyFont="1" applyFill="1" applyBorder="1" applyAlignment="1">
      <alignment horizontal="center" vertical="center" wrapText="1"/>
    </xf>
    <xf numFmtId="0" fontId="61" fillId="0" borderId="7" xfId="14" applyFont="1" applyFill="1" applyBorder="1" applyAlignment="1">
      <alignment horizontal="left" vertical="center" wrapText="1"/>
    </xf>
    <xf numFmtId="0" fontId="61" fillId="4" borderId="8" xfId="14" quotePrefix="1" applyFont="1" applyFill="1" applyBorder="1" applyAlignment="1">
      <alignment horizontal="center" vertical="center" wrapText="1"/>
    </xf>
    <xf numFmtId="0" fontId="67" fillId="3" borderId="1" xfId="14" applyFont="1" applyFill="1" applyBorder="1" applyAlignment="1">
      <alignment horizontal="center" vertical="center" wrapText="1"/>
    </xf>
    <xf numFmtId="0" fontId="67" fillId="3" borderId="4" xfId="14" applyFont="1" applyFill="1" applyBorder="1" applyAlignment="1">
      <alignment horizontal="center" vertical="center" wrapText="1"/>
    </xf>
    <xf numFmtId="0" fontId="67" fillId="3" borderId="1" xfId="14" applyFont="1" applyFill="1" applyBorder="1" applyAlignment="1">
      <alignment vertical="center" wrapText="1"/>
    </xf>
    <xf numFmtId="0" fontId="67" fillId="3" borderId="3" xfId="14" applyFont="1" applyFill="1" applyBorder="1" applyAlignment="1">
      <alignment vertical="center" wrapText="1"/>
    </xf>
    <xf numFmtId="0" fontId="61" fillId="11" borderId="18" xfId="14" quotePrefix="1" applyFont="1" applyFill="1" applyBorder="1" applyAlignment="1">
      <alignment horizontal="center" vertical="center" wrapText="1"/>
    </xf>
    <xf numFmtId="3" fontId="5" fillId="11" borderId="2" xfId="14" applyNumberFormat="1" applyFont="1" applyFill="1" applyBorder="1" applyAlignment="1">
      <alignment horizontal="right" vertical="center"/>
    </xf>
    <xf numFmtId="10" fontId="59" fillId="11" borderId="2" xfId="14" applyNumberFormat="1" applyFont="1" applyFill="1" applyBorder="1" applyAlignment="1">
      <alignment horizontal="right" vertical="center"/>
    </xf>
    <xf numFmtId="10" fontId="33" fillId="11" borderId="5" xfId="14" applyNumberFormat="1" applyFont="1" applyFill="1" applyBorder="1" applyAlignment="1">
      <alignment horizontal="right" vertical="center"/>
    </xf>
    <xf numFmtId="0" fontId="61" fillId="0" borderId="77" xfId="14" applyFont="1" applyFill="1" applyBorder="1" applyAlignment="1">
      <alignment horizontal="left" vertical="center" wrapText="1"/>
    </xf>
    <xf numFmtId="49" fontId="61" fillId="0" borderId="8" xfId="14" quotePrefix="1" applyNumberFormat="1" applyFont="1" applyFill="1" applyBorder="1" applyAlignment="1">
      <alignment horizontal="center" vertical="center" wrapText="1"/>
    </xf>
    <xf numFmtId="3" fontId="5" fillId="0" borderId="77" xfId="14" applyNumberFormat="1" applyFont="1" applyFill="1" applyBorder="1" applyAlignment="1">
      <alignment horizontal="right" vertical="center"/>
    </xf>
    <xf numFmtId="3" fontId="33" fillId="0" borderId="77" xfId="14" applyNumberFormat="1" applyFont="1" applyFill="1" applyBorder="1" applyAlignment="1">
      <alignment horizontal="right" vertical="center"/>
    </xf>
    <xf numFmtId="10" fontId="33" fillId="0" borderId="17" xfId="14" applyNumberFormat="1" applyFont="1" applyFill="1" applyBorder="1" applyAlignment="1">
      <alignment horizontal="right" vertical="center"/>
    </xf>
    <xf numFmtId="0" fontId="61" fillId="0" borderId="20" xfId="14" applyFont="1" applyFill="1" applyBorder="1" applyAlignment="1">
      <alignment horizontal="left" vertical="center" wrapText="1"/>
    </xf>
    <xf numFmtId="49" fontId="61" fillId="0" borderId="71" xfId="14" quotePrefix="1" applyNumberFormat="1" applyFont="1" applyFill="1" applyBorder="1" applyAlignment="1">
      <alignment horizontal="center" vertical="center" wrapText="1"/>
    </xf>
    <xf numFmtId="3" fontId="33" fillId="0" borderId="20" xfId="14" applyNumberFormat="1" applyFont="1" applyFill="1" applyBorder="1" applyAlignment="1">
      <alignment horizontal="right" vertical="center"/>
    </xf>
    <xf numFmtId="0" fontId="61" fillId="0" borderId="0" xfId="14" applyFont="1" applyFill="1" applyBorder="1" applyAlignment="1">
      <alignment horizontal="left" vertical="center" wrapText="1"/>
    </xf>
    <xf numFmtId="0" fontId="61" fillId="4" borderId="76" xfId="14" quotePrefix="1" applyFont="1" applyFill="1" applyBorder="1" applyAlignment="1">
      <alignment horizontal="center" vertical="center" wrapText="1"/>
    </xf>
    <xf numFmtId="0" fontId="12" fillId="0" borderId="0" xfId="14" applyFont="1" applyBorder="1"/>
    <xf numFmtId="3" fontId="12" fillId="0" borderId="0" xfId="17" applyNumberFormat="1" applyFont="1" applyBorder="1"/>
    <xf numFmtId="3" fontId="12" fillId="0" borderId="81" xfId="17" applyNumberFormat="1" applyFont="1" applyBorder="1"/>
    <xf numFmtId="0" fontId="63" fillId="11" borderId="65" xfId="14" quotePrefix="1" applyFont="1" applyFill="1" applyBorder="1" applyAlignment="1">
      <alignment horizontal="left" vertical="center" wrapText="1"/>
    </xf>
    <xf numFmtId="3" fontId="32" fillId="10" borderId="6" xfId="14" applyNumberFormat="1" applyFont="1" applyFill="1" applyBorder="1" applyAlignment="1">
      <alignment horizontal="right" vertical="center"/>
    </xf>
    <xf numFmtId="10" fontId="56" fillId="10" borderId="6" xfId="14" applyNumberFormat="1" applyFont="1" applyFill="1" applyBorder="1" applyAlignment="1">
      <alignment horizontal="right" vertical="center"/>
    </xf>
    <xf numFmtId="10" fontId="32" fillId="10" borderId="10" xfId="14" applyNumberFormat="1" applyFont="1" applyFill="1" applyBorder="1" applyAlignment="1">
      <alignment horizontal="right" vertical="center"/>
    </xf>
    <xf numFmtId="10" fontId="5" fillId="11" borderId="17" xfId="14" applyNumberFormat="1" applyFont="1" applyFill="1" applyBorder="1" applyAlignment="1">
      <alignment horizontal="right" vertical="center"/>
    </xf>
    <xf numFmtId="0" fontId="61" fillId="0" borderId="81" xfId="14" applyFont="1" applyFill="1" applyBorder="1" applyAlignment="1">
      <alignment horizontal="left" vertical="center" wrapText="1"/>
    </xf>
    <xf numFmtId="10" fontId="5" fillId="0" borderId="77" xfId="14" applyNumberFormat="1" applyFont="1" applyFill="1" applyBorder="1" applyAlignment="1">
      <alignment horizontal="left" vertical="center"/>
    </xf>
    <xf numFmtId="0" fontId="68" fillId="10" borderId="4" xfId="14" applyFont="1" applyFill="1" applyBorder="1" applyAlignment="1">
      <alignment horizontal="center" vertical="center" wrapText="1"/>
    </xf>
    <xf numFmtId="0" fontId="68" fillId="10" borderId="1" xfId="14" applyFont="1" applyFill="1" applyBorder="1" applyAlignment="1">
      <alignment vertical="center" wrapText="1"/>
    </xf>
    <xf numFmtId="0" fontId="68" fillId="10" borderId="3" xfId="14" applyFont="1" applyFill="1" applyBorder="1" applyAlignment="1">
      <alignment vertical="center" wrapText="1"/>
    </xf>
    <xf numFmtId="0" fontId="63" fillId="11" borderId="80" xfId="14" quotePrefix="1" applyFont="1" applyFill="1" applyBorder="1" applyAlignment="1">
      <alignment horizontal="left" vertical="center" wrapText="1"/>
    </xf>
    <xf numFmtId="10" fontId="58" fillId="11" borderId="8" xfId="14" applyNumberFormat="1" applyFont="1" applyFill="1" applyBorder="1" applyAlignment="1">
      <alignment horizontal="right" vertical="center"/>
    </xf>
    <xf numFmtId="0" fontId="66" fillId="0" borderId="72" xfId="14" applyFont="1" applyFill="1" applyBorder="1" applyAlignment="1">
      <alignment vertical="center" wrapText="1"/>
    </xf>
    <xf numFmtId="49" fontId="66" fillId="4" borderId="82" xfId="14" applyNumberFormat="1" applyFont="1" applyFill="1" applyBorder="1" applyAlignment="1">
      <alignment horizontal="center" vertical="center" wrapText="1"/>
    </xf>
    <xf numFmtId="0" fontId="66" fillId="0" borderId="16" xfId="14" applyFont="1" applyFill="1" applyBorder="1" applyAlignment="1">
      <alignment vertical="center" wrapText="1"/>
    </xf>
    <xf numFmtId="0" fontId="12" fillId="4" borderId="0" xfId="14" applyFill="1"/>
    <xf numFmtId="0" fontId="66" fillId="4" borderId="82" xfId="14" applyFont="1" applyFill="1" applyBorder="1" applyAlignment="1">
      <alignment vertical="center" wrapText="1"/>
    </xf>
    <xf numFmtId="0" fontId="61" fillId="0" borderId="72" xfId="14" quotePrefix="1" applyFont="1" applyFill="1" applyBorder="1" applyAlignment="1">
      <alignment horizontal="left" vertical="center" wrapText="1"/>
    </xf>
    <xf numFmtId="49" fontId="66" fillId="4" borderId="71" xfId="14" applyNumberFormat="1" applyFont="1" applyFill="1" applyBorder="1" applyAlignment="1">
      <alignment horizontal="center" vertical="center" wrapText="1"/>
    </xf>
    <xf numFmtId="0" fontId="68" fillId="3" borderId="1" xfId="14" applyFont="1" applyFill="1" applyBorder="1" applyAlignment="1">
      <alignment horizontal="center" vertical="center" wrapText="1"/>
    </xf>
    <xf numFmtId="0" fontId="68" fillId="10" borderId="1" xfId="14" applyFont="1" applyFill="1" applyBorder="1" applyAlignment="1">
      <alignment horizontal="center" vertical="center" wrapText="1"/>
    </xf>
    <xf numFmtId="10" fontId="51" fillId="11" borderId="69" xfId="14" applyNumberFormat="1" applyFont="1" applyFill="1" applyBorder="1" applyAlignment="1">
      <alignment horizontal="right" vertical="center"/>
    </xf>
    <xf numFmtId="0" fontId="63" fillId="11" borderId="79" xfId="14" quotePrefix="1" applyFont="1" applyFill="1" applyBorder="1" applyAlignment="1">
      <alignment horizontal="left" vertical="center" wrapText="1"/>
    </xf>
    <xf numFmtId="3" fontId="51" fillId="11" borderId="30" xfId="14" applyNumberFormat="1" applyFont="1" applyFill="1" applyBorder="1" applyAlignment="1">
      <alignment horizontal="right" vertical="center"/>
    </xf>
    <xf numFmtId="10" fontId="58" fillId="11" borderId="30" xfId="14" applyNumberFormat="1" applyFont="1" applyFill="1" applyBorder="1" applyAlignment="1">
      <alignment horizontal="right" vertical="center"/>
    </xf>
    <xf numFmtId="10" fontId="51" fillId="11" borderId="12" xfId="14" applyNumberFormat="1" applyFont="1" applyFill="1" applyBorder="1" applyAlignment="1">
      <alignment horizontal="right" vertical="center"/>
    </xf>
    <xf numFmtId="0" fontId="65" fillId="0" borderId="75" xfId="14" applyFont="1" applyFill="1" applyBorder="1" applyAlignment="1">
      <alignment horizontal="left" vertical="center" wrapText="1"/>
    </xf>
    <xf numFmtId="0" fontId="61" fillId="0" borderId="6" xfId="14" quotePrefix="1" applyFont="1" applyFill="1" applyBorder="1" applyAlignment="1">
      <alignment horizontal="left" vertical="center" wrapText="1"/>
    </xf>
    <xf numFmtId="49" fontId="66" fillId="4" borderId="29" xfId="14" applyNumberFormat="1" applyFont="1" applyFill="1" applyBorder="1" applyAlignment="1">
      <alignment horizontal="center" vertical="center" wrapText="1"/>
    </xf>
    <xf numFmtId="0" fontId="68" fillId="10" borderId="73" xfId="14" applyFont="1" applyFill="1" applyBorder="1" applyAlignment="1">
      <alignment horizontal="center" vertical="center" wrapText="1"/>
    </xf>
    <xf numFmtId="0" fontId="68" fillId="10" borderId="6" xfId="14" applyFont="1" applyFill="1" applyBorder="1" applyAlignment="1">
      <alignment vertical="center" wrapText="1"/>
    </xf>
    <xf numFmtId="0" fontId="65" fillId="0" borderId="73" xfId="14" applyFont="1" applyFill="1" applyBorder="1" applyAlignment="1">
      <alignment horizontal="center" vertical="center" wrapText="1"/>
    </xf>
    <xf numFmtId="0" fontId="66" fillId="0" borderId="67" xfId="14" applyFont="1" applyFill="1" applyBorder="1" applyAlignment="1">
      <alignment vertical="center" wrapText="1"/>
    </xf>
    <xf numFmtId="0" fontId="61" fillId="4" borderId="75" xfId="14" quotePrefix="1" applyFont="1" applyFill="1" applyBorder="1" applyAlignment="1">
      <alignment horizontal="center" vertical="center" wrapText="1"/>
    </xf>
    <xf numFmtId="3" fontId="55" fillId="11" borderId="6" xfId="14" applyNumberFormat="1" applyFont="1" applyFill="1" applyBorder="1" applyAlignment="1">
      <alignment horizontal="right" vertical="center"/>
    </xf>
    <xf numFmtId="0" fontId="68" fillId="10" borderId="3" xfId="14" applyFont="1" applyFill="1" applyBorder="1" applyAlignment="1">
      <alignment horizontal="center" vertical="center" wrapText="1"/>
    </xf>
    <xf numFmtId="0" fontId="66" fillId="0" borderId="20" xfId="14" applyFont="1" applyFill="1" applyBorder="1" applyAlignment="1">
      <alignment vertical="center" wrapText="1"/>
    </xf>
    <xf numFmtId="49" fontId="66" fillId="0" borderId="80" xfId="14" applyNumberFormat="1" applyFont="1" applyFill="1" applyBorder="1" applyAlignment="1">
      <alignment horizontal="center" vertical="center" wrapText="1"/>
    </xf>
    <xf numFmtId="0" fontId="32" fillId="0" borderId="0" xfId="14" applyFont="1"/>
    <xf numFmtId="0" fontId="66" fillId="0" borderId="12" xfId="14" applyFont="1" applyBorder="1" applyAlignment="1">
      <alignment vertical="center" wrapText="1"/>
    </xf>
    <xf numFmtId="49" fontId="69" fillId="11" borderId="29" xfId="14" applyNumberFormat="1" applyFont="1" applyFill="1" applyBorder="1" applyAlignment="1">
      <alignment vertical="center" wrapText="1"/>
    </xf>
    <xf numFmtId="0" fontId="68" fillId="10" borderId="6" xfId="14" applyFont="1" applyFill="1" applyBorder="1" applyAlignment="1">
      <alignment horizontal="center" vertical="center" wrapText="1"/>
    </xf>
    <xf numFmtId="0" fontId="62" fillId="10" borderId="6" xfId="14" applyFont="1" applyFill="1" applyBorder="1" applyAlignment="1">
      <alignment vertical="center" wrapText="1"/>
    </xf>
    <xf numFmtId="0" fontId="62" fillId="10" borderId="75" xfId="14" applyFont="1" applyFill="1" applyBorder="1" applyAlignment="1">
      <alignment vertical="center" wrapText="1"/>
    </xf>
    <xf numFmtId="10" fontId="57" fillId="10" borderId="10" xfId="14" applyNumberFormat="1" applyFont="1" applyFill="1" applyBorder="1" applyAlignment="1">
      <alignment horizontal="right" vertical="center"/>
    </xf>
    <xf numFmtId="0" fontId="12" fillId="0" borderId="0" xfId="14" applyFont="1" applyFill="1"/>
    <xf numFmtId="3" fontId="55" fillId="11" borderId="9" xfId="14" applyNumberFormat="1" applyFont="1" applyFill="1" applyBorder="1" applyAlignment="1">
      <alignment horizontal="right" vertical="center"/>
    </xf>
    <xf numFmtId="10" fontId="55" fillId="11" borderId="9" xfId="14" applyNumberFormat="1" applyFont="1" applyFill="1" applyBorder="1" applyAlignment="1">
      <alignment horizontal="right" vertical="center"/>
    </xf>
    <xf numFmtId="0" fontId="68" fillId="0" borderId="81" xfId="14" applyFont="1" applyBorder="1" applyAlignment="1">
      <alignment horizontal="center" vertical="center" wrapText="1"/>
    </xf>
    <xf numFmtId="0" fontId="66" fillId="0" borderId="0" xfId="14" applyFont="1" applyBorder="1" applyAlignment="1">
      <alignment vertical="center" wrapText="1"/>
    </xf>
    <xf numFmtId="0" fontId="66" fillId="4" borderId="76" xfId="14" applyFont="1" applyFill="1" applyBorder="1" applyAlignment="1">
      <alignment horizontal="center" vertical="center" wrapText="1"/>
    </xf>
    <xf numFmtId="0" fontId="63" fillId="11" borderId="82" xfId="14" quotePrefix="1" applyFont="1" applyFill="1" applyBorder="1" applyAlignment="1">
      <alignment horizontal="center" vertical="center" wrapText="1"/>
    </xf>
    <xf numFmtId="3" fontId="55" fillId="11" borderId="30" xfId="14" applyNumberFormat="1" applyFont="1" applyFill="1" applyBorder="1" applyAlignment="1">
      <alignment horizontal="right" vertical="center"/>
    </xf>
    <xf numFmtId="10" fontId="55" fillId="11" borderId="30" xfId="14" applyNumberFormat="1" applyFont="1" applyFill="1" applyBorder="1" applyAlignment="1">
      <alignment horizontal="right" vertical="center"/>
    </xf>
    <xf numFmtId="10" fontId="55" fillId="11" borderId="12" xfId="14" applyNumberFormat="1" applyFont="1" applyFill="1" applyBorder="1" applyAlignment="1">
      <alignment horizontal="right" vertical="center"/>
    </xf>
    <xf numFmtId="0" fontId="60" fillId="3" borderId="4" xfId="14" applyFont="1" applyFill="1" applyBorder="1" applyAlignment="1">
      <alignment vertical="center" wrapText="1"/>
    </xf>
    <xf numFmtId="0" fontId="60" fillId="3" borderId="3" xfId="14" applyFont="1" applyFill="1" applyBorder="1" applyAlignment="1">
      <alignment horizontal="left" vertical="center" wrapText="1"/>
    </xf>
    <xf numFmtId="10" fontId="60" fillId="3" borderId="1" xfId="14" applyNumberFormat="1" applyFont="1" applyFill="1" applyBorder="1" applyAlignment="1">
      <alignment horizontal="right" vertical="center"/>
    </xf>
    <xf numFmtId="10" fontId="11" fillId="3" borderId="5" xfId="14" applyNumberFormat="1" applyFont="1" applyFill="1" applyBorder="1" applyAlignment="1">
      <alignment horizontal="right" vertical="center"/>
    </xf>
    <xf numFmtId="10" fontId="60" fillId="10" borderId="9" xfId="14" applyNumberFormat="1" applyFont="1" applyFill="1" applyBorder="1" applyAlignment="1">
      <alignment horizontal="right" vertical="center"/>
    </xf>
    <xf numFmtId="10" fontId="11" fillId="10" borderId="69" xfId="14" applyNumberFormat="1" applyFont="1" applyFill="1" applyBorder="1" applyAlignment="1">
      <alignment horizontal="right" vertical="center"/>
    </xf>
    <xf numFmtId="10" fontId="63" fillId="11" borderId="2" xfId="14" applyNumberFormat="1" applyFont="1" applyFill="1" applyBorder="1" applyAlignment="1">
      <alignment horizontal="right" vertical="center"/>
    </xf>
    <xf numFmtId="10" fontId="8" fillId="11" borderId="17" xfId="14" applyNumberFormat="1" applyFont="1" applyFill="1" applyBorder="1" applyAlignment="1">
      <alignment horizontal="right" vertical="center"/>
    </xf>
    <xf numFmtId="0" fontId="63" fillId="0" borderId="8" xfId="14" applyFont="1" applyFill="1" applyBorder="1" applyAlignment="1">
      <alignment vertical="center" wrapText="1"/>
    </xf>
    <xf numFmtId="0" fontId="61" fillId="0" borderId="82" xfId="14" applyFont="1" applyFill="1" applyBorder="1" applyAlignment="1">
      <alignment horizontal="left" vertical="center" wrapText="1"/>
    </xf>
    <xf numFmtId="49" fontId="63" fillId="11" borderId="82" xfId="14" quotePrefix="1" applyNumberFormat="1" applyFont="1" applyFill="1" applyBorder="1" applyAlignment="1">
      <alignment horizontal="center" vertical="center" wrapText="1"/>
    </xf>
    <xf numFmtId="0" fontId="66" fillId="4" borderId="6" xfId="14" applyFont="1" applyFill="1" applyBorder="1" applyAlignment="1">
      <alignment horizontal="center" vertical="center" wrapText="1"/>
    </xf>
    <xf numFmtId="0" fontId="63" fillId="4" borderId="65" xfId="14" applyFont="1" applyFill="1" applyBorder="1" applyAlignment="1">
      <alignment horizontal="center" vertical="center" wrapText="1"/>
    </xf>
    <xf numFmtId="0" fontId="61" fillId="4" borderId="67" xfId="14" quotePrefix="1" applyFont="1" applyFill="1" applyBorder="1" applyAlignment="1">
      <alignment horizontal="left" vertical="center" wrapText="1"/>
    </xf>
    <xf numFmtId="49" fontId="61" fillId="4" borderId="29" xfId="14" quotePrefix="1" applyNumberFormat="1" applyFont="1" applyFill="1" applyBorder="1" applyAlignment="1">
      <alignment horizontal="center" vertical="center" wrapText="1"/>
    </xf>
    <xf numFmtId="3" fontId="33" fillId="4" borderId="65" xfId="14" applyNumberFormat="1" applyFont="1" applyFill="1" applyBorder="1" applyAlignment="1">
      <alignment horizontal="right" vertical="center"/>
    </xf>
    <xf numFmtId="10" fontId="59" fillId="4" borderId="65" xfId="14" applyNumberFormat="1" applyFont="1" applyFill="1" applyBorder="1" applyAlignment="1">
      <alignment horizontal="right" vertical="center"/>
    </xf>
    <xf numFmtId="10" fontId="33" fillId="4" borderId="67" xfId="14" applyNumberFormat="1" applyFont="1" applyFill="1" applyBorder="1" applyAlignment="1">
      <alignment horizontal="right" vertical="center"/>
    </xf>
    <xf numFmtId="0" fontId="11" fillId="3" borderId="1" xfId="14" applyFont="1" applyFill="1" applyBorder="1" applyAlignment="1">
      <alignment horizontal="center" vertical="center" wrapText="1"/>
    </xf>
    <xf numFmtId="0" fontId="9" fillId="3" borderId="4" xfId="14" applyFont="1" applyFill="1" applyBorder="1" applyAlignment="1">
      <alignment horizontal="center" vertical="center" wrapText="1"/>
    </xf>
    <xf numFmtId="0" fontId="11" fillId="3" borderId="5" xfId="14" applyFont="1" applyFill="1" applyBorder="1" applyAlignment="1">
      <alignment vertical="center" wrapText="1"/>
    </xf>
    <xf numFmtId="10" fontId="56" fillId="3" borderId="1" xfId="14" applyNumberFormat="1" applyFont="1" applyFill="1" applyBorder="1" applyAlignment="1">
      <alignment horizontal="right" vertical="center"/>
    </xf>
    <xf numFmtId="0" fontId="11" fillId="4" borderId="7" xfId="14" applyFont="1" applyFill="1" applyBorder="1" applyAlignment="1">
      <alignment vertical="center" wrapText="1"/>
    </xf>
    <xf numFmtId="0" fontId="9" fillId="10" borderId="6" xfId="14" applyFont="1" applyFill="1" applyBorder="1" applyAlignment="1">
      <alignment horizontal="center" vertical="center" wrapText="1"/>
    </xf>
    <xf numFmtId="0" fontId="9" fillId="10" borderId="10" xfId="14" applyFont="1" applyFill="1" applyBorder="1" applyAlignment="1">
      <alignment vertical="center" wrapText="1"/>
    </xf>
    <xf numFmtId="0" fontId="9" fillId="10" borderId="75" xfId="14" applyFont="1" applyFill="1" applyBorder="1" applyAlignment="1">
      <alignment vertical="center" wrapText="1"/>
    </xf>
    <xf numFmtId="0" fontId="8" fillId="11" borderId="76" xfId="14" quotePrefix="1" applyFont="1" applyFill="1" applyBorder="1" applyAlignment="1">
      <alignment horizontal="left" vertical="center" wrapText="1"/>
    </xf>
    <xf numFmtId="0" fontId="70" fillId="4" borderId="7" xfId="14" applyFont="1" applyFill="1" applyBorder="1" applyAlignment="1">
      <alignment vertical="center" wrapText="1"/>
    </xf>
    <xf numFmtId="0" fontId="7" fillId="4" borderId="77" xfId="14" applyFont="1" applyFill="1" applyBorder="1" applyAlignment="1">
      <alignment vertical="center" wrapText="1"/>
    </xf>
    <xf numFmtId="49" fontId="7" fillId="4" borderId="82" xfId="14" applyNumberFormat="1" applyFont="1" applyFill="1" applyBorder="1" applyAlignment="1">
      <alignment horizontal="center" vertical="center" wrapText="1"/>
    </xf>
    <xf numFmtId="10" fontId="5" fillId="0" borderId="77" xfId="14" applyNumberFormat="1" applyFont="1" applyFill="1" applyBorder="1" applyAlignment="1">
      <alignment horizontal="right" vertical="center"/>
    </xf>
    <xf numFmtId="0" fontId="11" fillId="4" borderId="7" xfId="14" applyFont="1" applyFill="1" applyBorder="1" applyAlignment="1">
      <alignment horizontal="center" vertical="center" wrapText="1"/>
    </xf>
    <xf numFmtId="49" fontId="8" fillId="11" borderId="29" xfId="14" quotePrefix="1" applyNumberFormat="1" applyFont="1" applyFill="1" applyBorder="1" applyAlignment="1">
      <alignment horizontal="center" vertical="center" wrapText="1"/>
    </xf>
    <xf numFmtId="0" fontId="9" fillId="10" borderId="1" xfId="14" applyFont="1" applyFill="1" applyBorder="1" applyAlignment="1">
      <alignment horizontal="center" vertical="center" wrapText="1"/>
    </xf>
    <xf numFmtId="0" fontId="9" fillId="10" borderId="5" xfId="14" applyFont="1" applyFill="1" applyBorder="1" applyAlignment="1">
      <alignment vertical="center" wrapText="1"/>
    </xf>
    <xf numFmtId="10" fontId="58" fillId="11" borderId="7" xfId="14" applyNumberFormat="1" applyFont="1" applyFill="1" applyBorder="1" applyAlignment="1">
      <alignment horizontal="right" vertical="center"/>
    </xf>
    <xf numFmtId="0" fontId="8" fillId="11" borderId="2" xfId="14" quotePrefix="1" applyFont="1" applyFill="1" applyBorder="1" applyAlignment="1">
      <alignment horizontal="left" vertical="center" wrapText="1"/>
    </xf>
    <xf numFmtId="0" fontId="7" fillId="0" borderId="20" xfId="14" quotePrefix="1" applyFont="1" applyFill="1" applyBorder="1" applyAlignment="1">
      <alignment horizontal="left" vertical="center" wrapText="1"/>
    </xf>
    <xf numFmtId="0" fontId="7" fillId="0" borderId="77" xfId="14" applyFont="1" applyFill="1" applyBorder="1" applyAlignment="1">
      <alignment vertical="center" wrapText="1"/>
    </xf>
    <xf numFmtId="0" fontId="7" fillId="0" borderId="0" xfId="14" applyFont="1" applyFill="1" applyBorder="1" applyAlignment="1">
      <alignment vertical="center" wrapText="1"/>
    </xf>
    <xf numFmtId="0" fontId="7" fillId="4" borderId="76" xfId="14" applyFont="1" applyFill="1" applyBorder="1" applyAlignment="1">
      <alignment horizontal="center" vertical="center" wrapText="1"/>
    </xf>
    <xf numFmtId="0" fontId="62" fillId="3" borderId="4" xfId="14" applyFont="1" applyFill="1" applyBorder="1" applyAlignment="1">
      <alignment horizontal="center" vertical="center" wrapText="1"/>
    </xf>
    <xf numFmtId="0" fontId="60" fillId="3" borderId="5" xfId="14" applyFont="1" applyFill="1" applyBorder="1" applyAlignment="1">
      <alignment vertical="center" wrapText="1"/>
    </xf>
    <xf numFmtId="0" fontId="67" fillId="0" borderId="9" xfId="14" applyFont="1" applyFill="1" applyBorder="1" applyAlignment="1">
      <alignment vertical="center" wrapText="1"/>
    </xf>
    <xf numFmtId="0" fontId="62" fillId="10" borderId="5" xfId="14" applyFont="1" applyFill="1" applyBorder="1" applyAlignment="1">
      <alignment vertical="center" wrapText="1"/>
    </xf>
    <xf numFmtId="0" fontId="67" fillId="0" borderId="7" xfId="14" applyFont="1" applyFill="1" applyBorder="1" applyAlignment="1">
      <alignment vertical="center" wrapText="1"/>
    </xf>
    <xf numFmtId="0" fontId="68" fillId="0" borderId="30" xfId="14" applyFont="1" applyBorder="1" applyAlignment="1">
      <alignment vertical="center" wrapText="1"/>
    </xf>
    <xf numFmtId="0" fontId="61" fillId="0" borderId="82" xfId="14" applyFont="1" applyFill="1" applyBorder="1" applyAlignment="1">
      <alignment vertical="center" wrapText="1"/>
    </xf>
    <xf numFmtId="0" fontId="68" fillId="0" borderId="8" xfId="14" applyFont="1" applyBorder="1" applyAlignment="1">
      <alignment vertical="center" wrapText="1"/>
    </xf>
    <xf numFmtId="0" fontId="61" fillId="0" borderId="0" xfId="14" applyFont="1" applyFill="1" applyBorder="1" applyAlignment="1">
      <alignment vertical="center" wrapText="1"/>
    </xf>
    <xf numFmtId="10" fontId="5" fillId="0" borderId="0" xfId="14" applyNumberFormat="1" applyFont="1" applyFill="1" applyBorder="1" applyAlignment="1">
      <alignment horizontal="right" vertical="center"/>
    </xf>
    <xf numFmtId="0" fontId="63" fillId="11" borderId="74" xfId="14" quotePrefix="1" applyFont="1" applyFill="1" applyBorder="1" applyAlignment="1">
      <alignment horizontal="left" vertical="center" wrapText="1"/>
    </xf>
    <xf numFmtId="49" fontId="13" fillId="4" borderId="82" xfId="14" quotePrefix="1" applyNumberFormat="1" applyFont="1" applyFill="1" applyBorder="1" applyAlignment="1">
      <alignment horizontal="center" vertical="center" wrapText="1"/>
    </xf>
    <xf numFmtId="3" fontId="33" fillId="0" borderId="30" xfId="14" applyNumberFormat="1" applyFont="1" applyFill="1" applyBorder="1" applyAlignment="1">
      <alignment horizontal="right" vertical="center"/>
    </xf>
    <xf numFmtId="49" fontId="13" fillId="4" borderId="80" xfId="14" quotePrefix="1" applyNumberFormat="1" applyFont="1" applyFill="1" applyBorder="1" applyAlignment="1">
      <alignment horizontal="center" vertical="center" wrapText="1"/>
    </xf>
    <xf numFmtId="0" fontId="66" fillId="0" borderId="0" xfId="14" applyFont="1" applyFill="1" applyBorder="1" applyAlignment="1">
      <alignment vertical="center" wrapText="1"/>
    </xf>
    <xf numFmtId="49" fontId="66" fillId="4" borderId="76" xfId="14" applyNumberFormat="1" applyFont="1" applyFill="1" applyBorder="1" applyAlignment="1">
      <alignment horizontal="center" vertical="center" wrapText="1"/>
    </xf>
    <xf numFmtId="0" fontId="63" fillId="0" borderId="6" xfId="14" applyFont="1" applyFill="1" applyBorder="1" applyAlignment="1">
      <alignment horizontal="left" vertical="center" wrapText="1"/>
    </xf>
    <xf numFmtId="0" fontId="63" fillId="0" borderId="10" xfId="14" quotePrefix="1" applyFont="1" applyFill="1" applyBorder="1" applyAlignment="1">
      <alignment horizontal="left" vertical="center" wrapText="1"/>
    </xf>
    <xf numFmtId="49" fontId="61" fillId="4" borderId="75" xfId="14" applyNumberFormat="1" applyFont="1" applyFill="1" applyBorder="1" applyAlignment="1">
      <alignment horizontal="center" vertical="center" wrapText="1"/>
    </xf>
    <xf numFmtId="3" fontId="51" fillId="0" borderId="6" xfId="14" applyNumberFormat="1" applyFont="1" applyFill="1" applyBorder="1" applyAlignment="1">
      <alignment horizontal="right" vertical="center"/>
    </xf>
    <xf numFmtId="10" fontId="59" fillId="0" borderId="6" xfId="14" applyNumberFormat="1" applyFont="1" applyFill="1" applyBorder="1" applyAlignment="1">
      <alignment horizontal="right" vertical="center"/>
    </xf>
    <xf numFmtId="10" fontId="5" fillId="0" borderId="10" xfId="14" applyNumberFormat="1" applyFont="1" applyFill="1" applyBorder="1" applyAlignment="1">
      <alignment horizontal="right" vertical="center"/>
    </xf>
    <xf numFmtId="0" fontId="44" fillId="0" borderId="0" xfId="14" applyFont="1" applyFill="1"/>
    <xf numFmtId="3" fontId="58" fillId="11" borderId="9" xfId="14" applyNumberFormat="1" applyFont="1" applyFill="1" applyBorder="1" applyAlignment="1">
      <alignment horizontal="right" vertical="center"/>
    </xf>
    <xf numFmtId="0" fontId="62" fillId="10" borderId="6" xfId="14" applyFont="1" applyFill="1" applyBorder="1" applyAlignment="1">
      <alignment horizontal="center" vertical="center" wrapText="1"/>
    </xf>
    <xf numFmtId="0" fontId="62" fillId="10" borderId="10" xfId="14" quotePrefix="1" applyFont="1" applyFill="1" applyBorder="1" applyAlignment="1">
      <alignment horizontal="left" vertical="center" wrapText="1"/>
    </xf>
    <xf numFmtId="0" fontId="63" fillId="10" borderId="75" xfId="14" quotePrefix="1" applyFont="1" applyFill="1" applyBorder="1" applyAlignment="1">
      <alignment horizontal="left" vertical="center" wrapText="1"/>
    </xf>
    <xf numFmtId="3" fontId="56" fillId="10" borderId="7" xfId="14" applyNumberFormat="1" applyFont="1" applyFill="1" applyBorder="1" applyAlignment="1">
      <alignment horizontal="right" vertical="center"/>
    </xf>
    <xf numFmtId="10" fontId="56" fillId="10" borderId="7" xfId="14" applyNumberFormat="1" applyFont="1" applyFill="1" applyBorder="1" applyAlignment="1">
      <alignment horizontal="right" vertical="center"/>
    </xf>
    <xf numFmtId="0" fontId="63" fillId="0" borderId="30" xfId="14" applyFont="1" applyFill="1" applyBorder="1" applyAlignment="1">
      <alignment vertical="center" wrapText="1"/>
    </xf>
    <xf numFmtId="10" fontId="58" fillId="0" borderId="7" xfId="14" applyNumberFormat="1" applyFont="1" applyFill="1" applyBorder="1" applyAlignment="1">
      <alignment horizontal="right" vertical="center"/>
    </xf>
    <xf numFmtId="3" fontId="58" fillId="0" borderId="7" xfId="17" applyNumberFormat="1" applyFont="1" applyFill="1" applyBorder="1" applyAlignment="1">
      <alignment horizontal="right" vertical="center"/>
    </xf>
    <xf numFmtId="10" fontId="55" fillId="0" borderId="0" xfId="14" applyNumberFormat="1" applyFont="1" applyFill="1" applyBorder="1" applyAlignment="1">
      <alignment horizontal="right" vertical="center"/>
    </xf>
    <xf numFmtId="0" fontId="63" fillId="0" borderId="7" xfId="14" applyFont="1" applyFill="1" applyBorder="1" applyAlignment="1">
      <alignment vertical="center" wrapText="1"/>
    </xf>
    <xf numFmtId="3" fontId="33" fillId="4" borderId="71" xfId="14" applyNumberFormat="1" applyFont="1" applyFill="1" applyBorder="1" applyAlignment="1">
      <alignment horizontal="right" vertical="center"/>
    </xf>
    <xf numFmtId="10" fontId="33" fillId="4" borderId="20" xfId="14" applyNumberFormat="1" applyFont="1" applyFill="1" applyBorder="1" applyAlignment="1">
      <alignment horizontal="right" vertical="center"/>
    </xf>
    <xf numFmtId="0" fontId="61" fillId="4" borderId="71" xfId="14" quotePrefix="1" applyFont="1" applyFill="1" applyBorder="1" applyAlignment="1">
      <alignment horizontal="left" vertical="center" wrapText="1"/>
    </xf>
    <xf numFmtId="3" fontId="59" fillId="4" borderId="30" xfId="14" applyNumberFormat="1" applyFont="1" applyFill="1" applyBorder="1" applyAlignment="1">
      <alignment horizontal="right" vertical="center"/>
    </xf>
    <xf numFmtId="10" fontId="59" fillId="4" borderId="30" xfId="14" applyNumberFormat="1" applyFont="1" applyFill="1" applyBorder="1" applyAlignment="1">
      <alignment horizontal="right" vertical="center"/>
    </xf>
    <xf numFmtId="3" fontId="59" fillId="4" borderId="30" xfId="17" applyNumberFormat="1" applyFont="1" applyFill="1" applyBorder="1" applyAlignment="1">
      <alignment horizontal="right" vertical="center"/>
    </xf>
    <xf numFmtId="10" fontId="33" fillId="4" borderId="12" xfId="14" applyNumberFormat="1" applyFont="1" applyFill="1" applyBorder="1" applyAlignment="1">
      <alignment horizontal="right" vertical="center"/>
    </xf>
    <xf numFmtId="0" fontId="61" fillId="4" borderId="8" xfId="14" quotePrefix="1" applyFont="1" applyFill="1" applyBorder="1" applyAlignment="1">
      <alignment horizontal="left" vertical="center" wrapText="1"/>
    </xf>
    <xf numFmtId="0" fontId="63" fillId="0" borderId="7" xfId="14" applyFont="1" applyFill="1" applyBorder="1" applyAlignment="1">
      <alignment horizontal="center" vertical="center" wrapText="1"/>
    </xf>
    <xf numFmtId="49" fontId="61" fillId="4" borderId="8" xfId="14" quotePrefix="1" applyNumberFormat="1" applyFont="1" applyFill="1" applyBorder="1" applyAlignment="1">
      <alignment horizontal="center" vertical="center" wrapText="1"/>
    </xf>
    <xf numFmtId="3" fontId="59" fillId="4" borderId="8" xfId="14" applyNumberFormat="1" applyFont="1" applyFill="1" applyBorder="1" applyAlignment="1">
      <alignment horizontal="right" vertical="center"/>
    </xf>
    <xf numFmtId="0" fontId="62" fillId="10" borderId="6" xfId="14" quotePrefix="1" applyFont="1" applyFill="1" applyBorder="1" applyAlignment="1">
      <alignment horizontal="left" vertical="center" wrapText="1"/>
    </xf>
    <xf numFmtId="0" fontId="63" fillId="10" borderId="10" xfId="14" quotePrefix="1" applyFont="1" applyFill="1" applyBorder="1" applyAlignment="1">
      <alignment horizontal="left" vertical="center" wrapText="1"/>
    </xf>
    <xf numFmtId="3" fontId="56" fillId="10" borderId="6" xfId="14" applyNumberFormat="1" applyFont="1" applyFill="1" applyBorder="1" applyAlignment="1">
      <alignment horizontal="right" vertical="center"/>
    </xf>
    <xf numFmtId="10" fontId="32" fillId="10" borderId="6" xfId="17" applyNumberFormat="1" applyFont="1" applyFill="1" applyBorder="1" applyAlignment="1">
      <alignment horizontal="right" vertical="center"/>
    </xf>
    <xf numFmtId="0" fontId="62" fillId="4" borderId="30" xfId="14" applyFont="1" applyFill="1" applyBorder="1" applyAlignment="1">
      <alignment horizontal="center" vertical="center" wrapText="1"/>
    </xf>
    <xf numFmtId="0" fontId="61" fillId="0" borderId="0" xfId="14" quotePrefix="1" applyFont="1" applyFill="1" applyBorder="1" applyAlignment="1">
      <alignment horizontal="left" vertical="center" wrapText="1"/>
    </xf>
    <xf numFmtId="0" fontId="7" fillId="4" borderId="30" xfId="14" quotePrefix="1" applyFont="1" applyFill="1" applyBorder="1" applyAlignment="1">
      <alignment horizontal="center" vertical="center" wrapText="1"/>
    </xf>
    <xf numFmtId="0" fontId="63" fillId="11" borderId="67" xfId="14" quotePrefix="1" applyFont="1" applyFill="1" applyBorder="1" applyAlignment="1">
      <alignment horizontal="left" vertical="center" wrapText="1"/>
    </xf>
    <xf numFmtId="0" fontId="68" fillId="10" borderId="75" xfId="14" applyFont="1" applyFill="1" applyBorder="1" applyAlignment="1">
      <alignment vertical="center" wrapText="1"/>
    </xf>
    <xf numFmtId="10" fontId="60" fillId="10" borderId="6" xfId="14" applyNumberFormat="1" applyFont="1" applyFill="1" applyBorder="1" applyAlignment="1">
      <alignment horizontal="right" vertical="center"/>
    </xf>
    <xf numFmtId="10" fontId="11" fillId="10" borderId="10" xfId="14" applyNumberFormat="1" applyFont="1" applyFill="1" applyBorder="1" applyAlignment="1">
      <alignment horizontal="right" vertical="center"/>
    </xf>
    <xf numFmtId="0" fontId="61" fillId="4" borderId="72" xfId="14" quotePrefix="1" applyFont="1" applyFill="1" applyBorder="1" applyAlignment="1">
      <alignment horizontal="left" vertical="center" wrapText="1"/>
    </xf>
    <xf numFmtId="3" fontId="5" fillId="4" borderId="72" xfId="14" applyNumberFormat="1" applyFont="1" applyFill="1" applyBorder="1" applyAlignment="1">
      <alignment horizontal="right" vertical="center"/>
    </xf>
    <xf numFmtId="10" fontId="5" fillId="4" borderId="10" xfId="14" applyNumberFormat="1" applyFont="1" applyFill="1" applyBorder="1" applyAlignment="1">
      <alignment horizontal="right" vertical="center"/>
    </xf>
    <xf numFmtId="3" fontId="5" fillId="4" borderId="8" xfId="14" applyNumberFormat="1" applyFont="1" applyFill="1" applyBorder="1" applyAlignment="1">
      <alignment horizontal="right" vertical="center"/>
    </xf>
    <xf numFmtId="10" fontId="5" fillId="4" borderId="77" xfId="14" applyNumberFormat="1" applyFont="1" applyFill="1" applyBorder="1" applyAlignment="1">
      <alignment horizontal="right" vertical="center"/>
    </xf>
    <xf numFmtId="0" fontId="61" fillId="4" borderId="79" xfId="14" applyFont="1" applyFill="1" applyBorder="1" applyAlignment="1">
      <alignment vertical="center" wrapText="1"/>
    </xf>
    <xf numFmtId="0" fontId="61" fillId="4" borderId="0" xfId="14" applyFont="1" applyFill="1" applyBorder="1" applyAlignment="1">
      <alignment vertical="center" wrapText="1"/>
    </xf>
    <xf numFmtId="0" fontId="61" fillId="4" borderId="65" xfId="14" quotePrefix="1" applyFont="1" applyFill="1" applyBorder="1" applyAlignment="1">
      <alignment horizontal="left" vertical="center" wrapText="1"/>
    </xf>
    <xf numFmtId="10" fontId="59" fillId="4" borderId="6" xfId="14" applyNumberFormat="1" applyFont="1" applyFill="1" applyBorder="1" applyAlignment="1">
      <alignment horizontal="right" vertical="center"/>
    </xf>
    <xf numFmtId="3" fontId="59" fillId="4" borderId="6" xfId="17" applyNumberFormat="1" applyFont="1" applyFill="1" applyBorder="1" applyAlignment="1">
      <alignment horizontal="right" vertical="center"/>
    </xf>
    <xf numFmtId="0" fontId="61" fillId="4" borderId="7" xfId="14" quotePrefix="1" applyFont="1" applyFill="1" applyBorder="1" applyAlignment="1">
      <alignment horizontal="left" vertical="center" wrapText="1"/>
    </xf>
    <xf numFmtId="3" fontId="59" fillId="4" borderId="7" xfId="17" applyNumberFormat="1" applyFont="1" applyFill="1" applyBorder="1" applyAlignment="1">
      <alignment horizontal="right" vertical="center"/>
    </xf>
    <xf numFmtId="10" fontId="5" fillId="0" borderId="17" xfId="14" applyNumberFormat="1" applyFont="1" applyFill="1" applyBorder="1" applyAlignment="1">
      <alignment horizontal="right" vertical="center"/>
    </xf>
    <xf numFmtId="10" fontId="5" fillId="0" borderId="2" xfId="17" applyNumberFormat="1" applyFont="1" applyFill="1" applyBorder="1" applyAlignment="1">
      <alignment horizontal="right" vertical="center"/>
    </xf>
    <xf numFmtId="0" fontId="61" fillId="4" borderId="7" xfId="14" quotePrefix="1" applyFont="1" applyFill="1" applyBorder="1" applyAlignment="1">
      <alignment vertical="center" wrapText="1"/>
    </xf>
    <xf numFmtId="0" fontId="61" fillId="4" borderId="71" xfId="14" quotePrefix="1" applyFont="1" applyFill="1" applyBorder="1" applyAlignment="1">
      <alignment vertical="center" wrapText="1"/>
    </xf>
    <xf numFmtId="0" fontId="61" fillId="4" borderId="72" xfId="14" quotePrefix="1" applyFont="1" applyFill="1" applyBorder="1" applyAlignment="1">
      <alignment vertical="center" wrapText="1"/>
    </xf>
    <xf numFmtId="0" fontId="63" fillId="4" borderId="8" xfId="14" applyFont="1" applyFill="1" applyBorder="1" applyAlignment="1">
      <alignment vertical="center" wrapText="1"/>
    </xf>
    <xf numFmtId="0" fontId="61" fillId="4" borderId="16" xfId="14" quotePrefix="1" applyFont="1" applyFill="1" applyBorder="1" applyAlignment="1">
      <alignment vertical="center" wrapText="1"/>
    </xf>
    <xf numFmtId="0" fontId="63" fillId="11" borderId="8" xfId="14" quotePrefix="1" applyFont="1" applyFill="1" applyBorder="1" applyAlignment="1">
      <alignment horizontal="left" vertical="center" wrapText="1"/>
    </xf>
    <xf numFmtId="0" fontId="61" fillId="4" borderId="78" xfId="14" quotePrefix="1" applyFont="1" applyFill="1" applyBorder="1" applyAlignment="1">
      <alignment horizontal="left" vertical="center" wrapText="1"/>
    </xf>
    <xf numFmtId="3" fontId="5" fillId="4" borderId="30" xfId="14" applyNumberFormat="1" applyFont="1" applyFill="1" applyBorder="1" applyAlignment="1">
      <alignment horizontal="right" vertical="center"/>
    </xf>
    <xf numFmtId="0" fontId="61" fillId="4" borderId="66" xfId="14" quotePrefix="1" applyFont="1" applyFill="1" applyBorder="1" applyAlignment="1">
      <alignment horizontal="left" vertical="center" wrapText="1"/>
    </xf>
    <xf numFmtId="3" fontId="5" fillId="4" borderId="65" xfId="14" applyNumberFormat="1" applyFont="1" applyFill="1" applyBorder="1" applyAlignment="1">
      <alignment horizontal="right" vertical="center"/>
    </xf>
    <xf numFmtId="0" fontId="61" fillId="4" borderId="30" xfId="14" quotePrefix="1" applyFont="1" applyFill="1" applyBorder="1" applyAlignment="1">
      <alignment vertical="center" wrapText="1"/>
    </xf>
    <xf numFmtId="0" fontId="61" fillId="4" borderId="30" xfId="14" quotePrefix="1" applyFont="1" applyFill="1" applyBorder="1" applyAlignment="1">
      <alignment horizontal="center" vertical="center" wrapText="1"/>
    </xf>
    <xf numFmtId="0" fontId="61" fillId="4" borderId="65" xfId="14" quotePrefix="1" applyFont="1" applyFill="1" applyBorder="1" applyAlignment="1">
      <alignment vertical="center" wrapText="1"/>
    </xf>
    <xf numFmtId="0" fontId="61" fillId="4" borderId="29" xfId="14" quotePrefix="1" applyFont="1" applyFill="1" applyBorder="1" applyAlignment="1">
      <alignment horizontal="center" vertical="center" wrapText="1"/>
    </xf>
    <xf numFmtId="0" fontId="67" fillId="3" borderId="1" xfId="1" applyFont="1" applyFill="1" applyBorder="1" applyAlignment="1">
      <alignment horizontal="center" vertical="center" wrapText="1"/>
    </xf>
    <xf numFmtId="0" fontId="67" fillId="3" borderId="4" xfId="1" applyFont="1" applyFill="1" applyBorder="1" applyAlignment="1">
      <alignment horizontal="center" vertical="center" wrapText="1"/>
    </xf>
    <xf numFmtId="0" fontId="67" fillId="3" borderId="1" xfId="1" applyFont="1" applyFill="1" applyBorder="1" applyAlignment="1">
      <alignment vertical="center" wrapText="1"/>
    </xf>
    <xf numFmtId="0" fontId="67" fillId="3" borderId="3" xfId="1" applyFont="1" applyFill="1" applyBorder="1" applyAlignment="1">
      <alignment vertical="center" wrapText="1"/>
    </xf>
    <xf numFmtId="10" fontId="57" fillId="3" borderId="5" xfId="14" applyNumberFormat="1" applyFont="1" applyFill="1" applyBorder="1" applyAlignment="1">
      <alignment horizontal="right" vertical="center"/>
    </xf>
    <xf numFmtId="0" fontId="66" fillId="4" borderId="9" xfId="1" applyFont="1" applyFill="1" applyBorder="1" applyAlignment="1">
      <alignment vertical="center" wrapText="1"/>
    </xf>
    <xf numFmtId="0" fontId="68" fillId="10" borderId="4" xfId="1" applyFont="1" applyFill="1" applyBorder="1" applyAlignment="1">
      <alignment horizontal="center" vertical="center" wrapText="1"/>
    </xf>
    <xf numFmtId="0" fontId="68" fillId="10" borderId="1" xfId="1" applyFont="1" applyFill="1" applyBorder="1" applyAlignment="1">
      <alignment vertical="center" wrapText="1"/>
    </xf>
    <xf numFmtId="0" fontId="68" fillId="10" borderId="3" xfId="1" applyFont="1" applyFill="1" applyBorder="1" applyAlignment="1">
      <alignment vertical="center" wrapText="1"/>
    </xf>
    <xf numFmtId="0" fontId="66" fillId="4" borderId="7" xfId="1" applyFont="1" applyFill="1" applyBorder="1" applyAlignment="1">
      <alignment vertical="center" wrapText="1"/>
    </xf>
    <xf numFmtId="0" fontId="63" fillId="11" borderId="80" xfId="1" applyFont="1" applyFill="1" applyBorder="1" applyAlignment="1">
      <alignment horizontal="left" vertical="center" wrapText="1"/>
    </xf>
    <xf numFmtId="10" fontId="51" fillId="11" borderId="9" xfId="14" applyNumberFormat="1" applyFont="1" applyFill="1" applyBorder="1" applyAlignment="1">
      <alignment horizontal="right" vertical="center"/>
    </xf>
    <xf numFmtId="10" fontId="5" fillId="11" borderId="8" xfId="17" applyNumberFormat="1" applyFont="1" applyFill="1" applyBorder="1" applyAlignment="1">
      <alignment horizontal="right" vertical="center"/>
    </xf>
    <xf numFmtId="0" fontId="68" fillId="4" borderId="72" xfId="1" applyFont="1" applyFill="1" applyBorder="1" applyAlignment="1">
      <alignment horizontal="center" vertical="center" wrapText="1"/>
    </xf>
    <xf numFmtId="0" fontId="66" fillId="4" borderId="82" xfId="1" applyFont="1" applyFill="1" applyBorder="1" applyAlignment="1">
      <alignment horizontal="center" vertical="center" wrapText="1"/>
    </xf>
    <xf numFmtId="0" fontId="63" fillId="11" borderId="79" xfId="1" applyFont="1" applyFill="1" applyBorder="1" applyAlignment="1">
      <alignment horizontal="left" vertical="center" wrapText="1"/>
    </xf>
    <xf numFmtId="3" fontId="51" fillId="11" borderId="81" xfId="17" applyNumberFormat="1" applyFont="1" applyFill="1" applyBorder="1" applyAlignment="1">
      <alignment horizontal="right" vertical="center"/>
    </xf>
    <xf numFmtId="3" fontId="57" fillId="3" borderId="9" xfId="14" applyNumberFormat="1" applyFont="1" applyFill="1" applyBorder="1" applyAlignment="1">
      <alignment horizontal="right" vertical="center"/>
    </xf>
    <xf numFmtId="10" fontId="57" fillId="3" borderId="9" xfId="14" applyNumberFormat="1" applyFont="1" applyFill="1" applyBorder="1" applyAlignment="1">
      <alignment horizontal="right" vertical="center"/>
    </xf>
    <xf numFmtId="3" fontId="57" fillId="3" borderId="81" xfId="17" applyNumberFormat="1" applyFont="1" applyFill="1" applyBorder="1" applyAlignment="1">
      <alignment horizontal="right" vertical="center"/>
    </xf>
    <xf numFmtId="3" fontId="57" fillId="10" borderId="9" xfId="14" applyNumberFormat="1" applyFont="1" applyFill="1" applyBorder="1" applyAlignment="1">
      <alignment horizontal="right" vertical="center"/>
    </xf>
    <xf numFmtId="10" fontId="57" fillId="10" borderId="9" xfId="14" applyNumberFormat="1" applyFont="1" applyFill="1" applyBorder="1" applyAlignment="1">
      <alignment horizontal="right" vertical="center"/>
    </xf>
    <xf numFmtId="0" fontId="66" fillId="0" borderId="20" xfId="1" applyFont="1" applyFill="1" applyBorder="1" applyAlignment="1">
      <alignment vertical="center" wrapText="1"/>
    </xf>
    <xf numFmtId="0" fontId="62" fillId="3" borderId="1" xfId="14" applyFont="1" applyFill="1" applyBorder="1" applyAlignment="1">
      <alignment horizontal="center" vertical="center" wrapText="1"/>
    </xf>
    <xf numFmtId="0" fontId="71" fillId="3" borderId="1" xfId="14" applyFont="1" applyFill="1" applyBorder="1" applyAlignment="1">
      <alignment vertical="center" wrapText="1"/>
    </xf>
    <xf numFmtId="0" fontId="9" fillId="10" borderId="4" xfId="14" applyFont="1" applyFill="1" applyBorder="1" applyAlignment="1">
      <alignment horizontal="center" vertical="center" wrapText="1"/>
    </xf>
    <xf numFmtId="0" fontId="8" fillId="11" borderId="18" xfId="14" applyFont="1" applyFill="1" applyBorder="1" applyAlignment="1">
      <alignment horizontal="left" vertical="center" wrapText="1"/>
    </xf>
    <xf numFmtId="0" fontId="7" fillId="0" borderId="20" xfId="14" applyFont="1" applyFill="1" applyBorder="1" applyAlignment="1">
      <alignment horizontal="left" vertical="center" wrapText="1"/>
    </xf>
    <xf numFmtId="0" fontId="7" fillId="0" borderId="8" xfId="14" applyFont="1" applyFill="1" applyBorder="1" applyAlignment="1">
      <alignment vertical="center" wrapText="1"/>
    </xf>
    <xf numFmtId="49" fontId="7" fillId="4" borderId="8" xfId="14" applyNumberFormat="1" applyFont="1" applyFill="1" applyBorder="1" applyAlignment="1">
      <alignment horizontal="center" vertical="center" wrapText="1"/>
    </xf>
    <xf numFmtId="3" fontId="32" fillId="10" borderId="7" xfId="14" applyNumberFormat="1" applyFont="1" applyFill="1" applyBorder="1" applyAlignment="1">
      <alignment horizontal="right" vertical="center"/>
    </xf>
    <xf numFmtId="10" fontId="57" fillId="10" borderId="0" xfId="14" applyNumberFormat="1" applyFont="1" applyFill="1" applyBorder="1" applyAlignment="1">
      <alignment horizontal="right" vertical="center"/>
    </xf>
    <xf numFmtId="0" fontId="63" fillId="11" borderId="80" xfId="14" applyFont="1" applyFill="1" applyBorder="1" applyAlignment="1">
      <alignment horizontal="left" vertical="center" wrapText="1"/>
    </xf>
    <xf numFmtId="10" fontId="72" fillId="0" borderId="20" xfId="14" applyNumberFormat="1" applyFont="1" applyFill="1" applyBorder="1" applyAlignment="1">
      <alignment vertical="center" wrapText="1"/>
    </xf>
    <xf numFmtId="0" fontId="60" fillId="3" borderId="1" xfId="1" applyFont="1" applyFill="1" applyBorder="1" applyAlignment="1">
      <alignment horizontal="center" vertical="center" wrapText="1"/>
    </xf>
    <xf numFmtId="0" fontId="60" fillId="3" borderId="4" xfId="1" applyFont="1" applyFill="1" applyBorder="1" applyAlignment="1">
      <alignment horizontal="center" vertical="center" wrapText="1"/>
    </xf>
    <xf numFmtId="0" fontId="60" fillId="3" borderId="1" xfId="1" applyFont="1" applyFill="1" applyBorder="1" applyAlignment="1">
      <alignment vertical="center" wrapText="1"/>
    </xf>
    <xf numFmtId="0" fontId="60" fillId="3" borderId="3" xfId="1" applyFont="1" applyFill="1" applyBorder="1" applyAlignment="1">
      <alignment vertical="center" wrapText="1"/>
    </xf>
    <xf numFmtId="4" fontId="32" fillId="3" borderId="9" xfId="14" applyNumberFormat="1" applyFont="1" applyFill="1" applyBorder="1" applyAlignment="1">
      <alignment horizontal="right" vertical="center"/>
    </xf>
    <xf numFmtId="0" fontId="61" fillId="4" borderId="9" xfId="1" applyFont="1" applyFill="1" applyBorder="1" applyAlignment="1">
      <alignment vertical="center" wrapText="1"/>
    </xf>
    <xf numFmtId="0" fontId="62" fillId="10" borderId="4" xfId="1" applyFont="1" applyFill="1" applyBorder="1" applyAlignment="1">
      <alignment horizontal="center" vertical="center" wrapText="1"/>
    </xf>
    <xf numFmtId="0" fontId="62" fillId="10" borderId="1" xfId="1" applyFont="1" applyFill="1" applyBorder="1" applyAlignment="1">
      <alignment vertical="center" wrapText="1"/>
    </xf>
    <xf numFmtId="0" fontId="62" fillId="10" borderId="3" xfId="1" applyFont="1" applyFill="1" applyBorder="1" applyAlignment="1">
      <alignment vertical="center" wrapText="1"/>
    </xf>
    <xf numFmtId="0" fontId="61" fillId="4" borderId="7" xfId="1" applyFont="1" applyFill="1" applyBorder="1" applyAlignment="1">
      <alignment vertical="center" wrapText="1"/>
    </xf>
    <xf numFmtId="0" fontId="62" fillId="4" borderId="72" xfId="1" applyFont="1" applyFill="1" applyBorder="1" applyAlignment="1">
      <alignment horizontal="center" vertical="center" wrapText="1"/>
    </xf>
    <xf numFmtId="0" fontId="61" fillId="0" borderId="20" xfId="1" applyFont="1" applyFill="1" applyBorder="1" applyAlignment="1">
      <alignment vertical="center" wrapText="1"/>
    </xf>
    <xf numFmtId="0" fontId="61" fillId="4" borderId="82" xfId="1" applyFont="1" applyFill="1" applyBorder="1" applyAlignment="1">
      <alignment horizontal="center" vertical="center" wrapText="1"/>
    </xf>
    <xf numFmtId="0" fontId="63" fillId="11" borderId="29" xfId="1" applyFont="1" applyFill="1" applyBorder="1" applyAlignment="1">
      <alignment horizontal="left" vertical="center" wrapText="1"/>
    </xf>
    <xf numFmtId="0" fontId="61" fillId="4" borderId="76" xfId="1" applyFont="1" applyFill="1" applyBorder="1" applyAlignment="1">
      <alignment vertical="center" wrapText="1"/>
    </xf>
    <xf numFmtId="0" fontId="63" fillId="11" borderId="17" xfId="1" applyFont="1" applyFill="1" applyBorder="1" applyAlignment="1">
      <alignment horizontal="left" vertical="center" wrapText="1"/>
    </xf>
    <xf numFmtId="10" fontId="56" fillId="11" borderId="2" xfId="14" applyNumberFormat="1" applyFont="1" applyFill="1" applyBorder="1" applyAlignment="1">
      <alignment horizontal="right" vertical="center"/>
    </xf>
    <xf numFmtId="10" fontId="57" fillId="11" borderId="17" xfId="14" applyNumberFormat="1" applyFont="1" applyFill="1" applyBorder="1" applyAlignment="1">
      <alignment horizontal="right" vertical="center"/>
    </xf>
    <xf numFmtId="0" fontId="61" fillId="0" borderId="8" xfId="1" quotePrefix="1" applyFont="1" applyFill="1" applyBorder="1" applyAlignment="1">
      <alignment horizontal="left" vertical="center" wrapText="1"/>
    </xf>
    <xf numFmtId="0" fontId="61" fillId="0" borderId="16" xfId="1" applyFont="1" applyFill="1" applyBorder="1" applyAlignment="1">
      <alignment horizontal="center" vertical="center" wrapText="1"/>
    </xf>
    <xf numFmtId="10" fontId="59" fillId="0" borderId="81" xfId="14" applyNumberFormat="1" applyFont="1" applyFill="1" applyBorder="1" applyAlignment="1">
      <alignment horizontal="right" vertical="center"/>
    </xf>
    <xf numFmtId="10" fontId="5" fillId="0" borderId="0" xfId="14" applyNumberFormat="1" applyFont="1" applyFill="1" applyBorder="1" applyAlignment="1">
      <alignment horizontal="left" vertical="center" wrapText="1"/>
    </xf>
    <xf numFmtId="0" fontId="61" fillId="0" borderId="71" xfId="1" applyFont="1" applyFill="1" applyBorder="1" applyAlignment="1">
      <alignment horizontal="left" vertical="center" wrapText="1"/>
    </xf>
    <xf numFmtId="0" fontId="61" fillId="0" borderId="72" xfId="1" applyFont="1" applyFill="1" applyBorder="1" applyAlignment="1">
      <alignment horizontal="center" vertical="center" wrapText="1"/>
    </xf>
    <xf numFmtId="0" fontId="61" fillId="11" borderId="77" xfId="1" applyFont="1" applyFill="1" applyBorder="1" applyAlignment="1">
      <alignment horizontal="center" vertical="center" wrapText="1"/>
    </xf>
    <xf numFmtId="10" fontId="58" fillId="11" borderId="72" xfId="14" applyNumberFormat="1" applyFont="1" applyFill="1" applyBorder="1" applyAlignment="1">
      <alignment horizontal="right" vertical="center"/>
    </xf>
    <xf numFmtId="0" fontId="63" fillId="4" borderId="65" xfId="1" applyFont="1" applyFill="1" applyBorder="1" applyAlignment="1">
      <alignment vertical="center" wrapText="1"/>
    </xf>
    <xf numFmtId="0" fontId="61" fillId="0" borderId="66" xfId="1" applyFont="1" applyFill="1" applyBorder="1" applyAlignment="1">
      <alignment vertical="center" wrapText="1"/>
    </xf>
    <xf numFmtId="0" fontId="61" fillId="4" borderId="67" xfId="1" applyFont="1" applyFill="1" applyBorder="1" applyAlignment="1">
      <alignment horizontal="center" vertical="center" wrapText="1"/>
    </xf>
    <xf numFmtId="0" fontId="62" fillId="4" borderId="78" xfId="1" applyFont="1" applyFill="1" applyBorder="1" applyAlignment="1">
      <alignment horizontal="center" vertical="center" wrapText="1"/>
    </xf>
    <xf numFmtId="0" fontId="61" fillId="0" borderId="12" xfId="1" applyFont="1" applyFill="1" applyBorder="1" applyAlignment="1">
      <alignment vertical="center" wrapText="1"/>
    </xf>
    <xf numFmtId="0" fontId="61" fillId="4" borderId="79" xfId="1" applyFont="1" applyFill="1" applyBorder="1" applyAlignment="1">
      <alignment horizontal="center" vertical="center" wrapText="1"/>
    </xf>
    <xf numFmtId="3" fontId="58" fillId="11" borderId="65" xfId="17" applyNumberFormat="1" applyFont="1" applyFill="1" applyBorder="1" applyAlignment="1">
      <alignment horizontal="right" vertical="center"/>
    </xf>
    <xf numFmtId="0" fontId="62" fillId="10" borderId="6" xfId="1" applyFont="1" applyFill="1" applyBorder="1" applyAlignment="1">
      <alignment horizontal="center" vertical="center" wrapText="1"/>
    </xf>
    <xf numFmtId="0" fontId="62" fillId="10" borderId="6" xfId="1" applyFont="1" applyFill="1" applyBorder="1" applyAlignment="1">
      <alignment vertical="center" wrapText="1"/>
    </xf>
    <xf numFmtId="0" fontId="62" fillId="10" borderId="75" xfId="1" applyFont="1" applyFill="1" applyBorder="1" applyAlignment="1">
      <alignment vertical="center" wrapText="1"/>
    </xf>
    <xf numFmtId="0" fontId="61" fillId="4" borderId="20" xfId="1" applyFont="1" applyFill="1" applyBorder="1" applyAlignment="1">
      <alignment vertical="center" wrapText="1"/>
    </xf>
    <xf numFmtId="49" fontId="61" fillId="4" borderId="82" xfId="1" applyNumberFormat="1" applyFont="1" applyFill="1" applyBorder="1" applyAlignment="1">
      <alignment horizontal="center" vertical="center" wrapText="1"/>
    </xf>
    <xf numFmtId="0" fontId="62" fillId="10" borderId="1" xfId="1" applyFont="1" applyFill="1" applyBorder="1" applyAlignment="1">
      <alignment horizontal="center" vertical="center" wrapText="1"/>
    </xf>
    <xf numFmtId="3" fontId="57" fillId="10" borderId="1" xfId="14" applyNumberFormat="1" applyFont="1" applyFill="1" applyBorder="1" applyAlignment="1">
      <alignment horizontal="right" vertical="center"/>
    </xf>
    <xf numFmtId="3" fontId="55" fillId="11" borderId="2" xfId="14" applyNumberFormat="1" applyFont="1" applyFill="1" applyBorder="1" applyAlignment="1">
      <alignment horizontal="right" vertical="center"/>
    </xf>
    <xf numFmtId="0" fontId="61" fillId="4" borderId="12" xfId="1" applyFont="1" applyFill="1" applyBorder="1" applyAlignment="1">
      <alignment vertical="center" wrapText="1"/>
    </xf>
    <xf numFmtId="49" fontId="61" fillId="4" borderId="79" xfId="1" applyNumberFormat="1" applyFont="1" applyFill="1" applyBorder="1" applyAlignment="1">
      <alignment horizontal="center" vertical="center" wrapText="1"/>
    </xf>
    <xf numFmtId="0" fontId="61" fillId="0" borderId="80" xfId="1" quotePrefix="1" applyFont="1" applyFill="1" applyBorder="1" applyAlignment="1">
      <alignment horizontal="left" vertical="center" wrapText="1"/>
    </xf>
    <xf numFmtId="0" fontId="61" fillId="4" borderId="6" xfId="1" applyFont="1" applyFill="1" applyBorder="1" applyAlignment="1">
      <alignment vertical="center" wrapText="1"/>
    </xf>
    <xf numFmtId="10" fontId="55" fillId="11" borderId="0" xfId="14" applyNumberFormat="1" applyFont="1" applyFill="1" applyBorder="1" applyAlignment="1">
      <alignment horizontal="right" vertical="center"/>
    </xf>
    <xf numFmtId="0" fontId="62" fillId="10" borderId="73" xfId="1" applyFont="1" applyFill="1" applyBorder="1" applyAlignment="1">
      <alignment horizontal="center" vertical="center" wrapText="1"/>
    </xf>
    <xf numFmtId="0" fontId="63" fillId="11" borderId="76" xfId="1" applyFont="1" applyFill="1" applyBorder="1" applyAlignment="1">
      <alignment horizontal="left" vertical="center" wrapText="1"/>
    </xf>
    <xf numFmtId="0" fontId="61" fillId="0" borderId="82" xfId="1" applyFont="1" applyFill="1" applyBorder="1" applyAlignment="1">
      <alignment vertical="center" wrapText="1"/>
    </xf>
    <xf numFmtId="0" fontId="63" fillId="11" borderId="75" xfId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vertical="center" wrapText="1"/>
    </xf>
    <xf numFmtId="0" fontId="9" fillId="10" borderId="73" xfId="1" applyFont="1" applyFill="1" applyBorder="1" applyAlignment="1">
      <alignment horizontal="center" vertical="center" wrapText="1"/>
    </xf>
    <xf numFmtId="0" fontId="9" fillId="10" borderId="6" xfId="1" applyFont="1" applyFill="1" applyBorder="1" applyAlignment="1">
      <alignment vertical="center" wrapText="1"/>
    </xf>
    <xf numFmtId="0" fontId="9" fillId="10" borderId="75" xfId="1" applyFont="1" applyFill="1" applyBorder="1" applyAlignment="1">
      <alignment vertical="center" wrapText="1"/>
    </xf>
    <xf numFmtId="0" fontId="8" fillId="11" borderId="9" xfId="1" applyFont="1" applyFill="1" applyBorder="1" applyAlignment="1">
      <alignment horizontal="left" vertical="center" wrapText="1"/>
    </xf>
    <xf numFmtId="0" fontId="8" fillId="4" borderId="30" xfId="1" applyFont="1" applyFill="1" applyBorder="1" applyAlignment="1">
      <alignment vertical="center" wrapText="1"/>
    </xf>
    <xf numFmtId="0" fontId="7" fillId="4" borderId="77" xfId="1" applyFont="1" applyFill="1" applyBorder="1" applyAlignment="1">
      <alignment vertical="center" wrapText="1"/>
    </xf>
    <xf numFmtId="0" fontId="7" fillId="4" borderId="6" xfId="1" applyFont="1" applyFill="1" applyBorder="1" applyAlignment="1">
      <alignment vertical="center" wrapText="1"/>
    </xf>
    <xf numFmtId="0" fontId="8" fillId="4" borderId="6" xfId="1" applyFont="1" applyFill="1" applyBorder="1" applyAlignment="1">
      <alignment vertical="center" wrapText="1"/>
    </xf>
    <xf numFmtId="0" fontId="7" fillId="4" borderId="67" xfId="1" applyFont="1" applyFill="1" applyBorder="1" applyAlignment="1">
      <alignment vertical="center" wrapText="1"/>
    </xf>
    <xf numFmtId="3" fontId="5" fillId="4" borderId="6" xfId="14" applyNumberFormat="1" applyFont="1" applyFill="1" applyBorder="1" applyAlignment="1">
      <alignment horizontal="right" vertical="center"/>
    </xf>
    <xf numFmtId="0" fontId="7" fillId="4" borderId="9" xfId="1" applyFont="1" applyFill="1" applyBorder="1" applyAlignment="1">
      <alignment vertical="center" wrapText="1"/>
    </xf>
    <xf numFmtId="0" fontId="8" fillId="4" borderId="9" xfId="1" applyFont="1" applyFill="1" applyBorder="1" applyAlignment="1">
      <alignment vertical="center" wrapText="1"/>
    </xf>
    <xf numFmtId="0" fontId="7" fillId="4" borderId="17" xfId="1" applyFont="1" applyFill="1" applyBorder="1" applyAlignment="1">
      <alignment vertical="center" wrapText="1"/>
    </xf>
    <xf numFmtId="0" fontId="7" fillId="4" borderId="2" xfId="1" applyFont="1" applyFill="1" applyBorder="1" applyAlignment="1">
      <alignment horizontal="center" vertical="center" wrapText="1"/>
    </xf>
    <xf numFmtId="3" fontId="5" fillId="0" borderId="2" xfId="14" applyNumberFormat="1" applyFont="1" applyFill="1" applyBorder="1" applyAlignment="1">
      <alignment horizontal="right" vertical="center"/>
    </xf>
    <xf numFmtId="3" fontId="5" fillId="4" borderId="2" xfId="14" applyNumberFormat="1" applyFont="1" applyFill="1" applyBorder="1" applyAlignment="1">
      <alignment horizontal="right" vertical="center"/>
    </xf>
    <xf numFmtId="0" fontId="8" fillId="4" borderId="8" xfId="1" applyFont="1" applyFill="1" applyBorder="1" applyAlignment="1">
      <alignment vertical="center" wrapText="1"/>
    </xf>
    <xf numFmtId="0" fontId="7" fillId="4" borderId="20" xfId="1" applyFont="1" applyFill="1" applyBorder="1" applyAlignment="1">
      <alignment vertical="center" wrapText="1"/>
    </xf>
    <xf numFmtId="0" fontId="8" fillId="11" borderId="71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left" vertical="center" wrapText="1"/>
    </xf>
    <xf numFmtId="0" fontId="7" fillId="4" borderId="71" xfId="1" applyFont="1" applyFill="1" applyBorder="1" applyAlignment="1">
      <alignment horizontal="center" vertical="center" wrapText="1"/>
    </xf>
    <xf numFmtId="10" fontId="5" fillId="0" borderId="12" xfId="14" applyNumberFormat="1" applyFont="1" applyFill="1" applyBorder="1" applyAlignment="1">
      <alignment horizontal="right" vertical="center"/>
    </xf>
    <xf numFmtId="0" fontId="8" fillId="4" borderId="7" xfId="1" applyFont="1" applyFill="1" applyBorder="1" applyAlignment="1">
      <alignment vertical="center" wrapText="1"/>
    </xf>
    <xf numFmtId="0" fontId="7" fillId="4" borderId="82" xfId="1" applyFont="1" applyFill="1" applyBorder="1" applyAlignment="1">
      <alignment horizontal="left" vertical="center" wrapText="1"/>
    </xf>
    <xf numFmtId="0" fontId="7" fillId="4" borderId="76" xfId="1" applyFont="1" applyFill="1" applyBorder="1" applyAlignment="1">
      <alignment horizontal="left" vertical="center" wrapText="1"/>
    </xf>
    <xf numFmtId="3" fontId="5" fillId="4" borderId="7" xfId="14" applyNumberFormat="1" applyFont="1" applyFill="1" applyBorder="1" applyAlignment="1">
      <alignment horizontal="right" vertical="center"/>
    </xf>
    <xf numFmtId="0" fontId="9" fillId="10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vertical="center" wrapText="1"/>
    </xf>
    <xf numFmtId="0" fontId="9" fillId="10" borderId="3" xfId="1" applyFont="1" applyFill="1" applyBorder="1" applyAlignment="1">
      <alignment vertical="center" wrapText="1"/>
    </xf>
    <xf numFmtId="3" fontId="11" fillId="10" borderId="1" xfId="14" applyNumberFormat="1" applyFont="1" applyFill="1" applyBorder="1" applyAlignment="1">
      <alignment horizontal="right" vertical="center"/>
    </xf>
    <xf numFmtId="0" fontId="8" fillId="11" borderId="80" xfId="1" applyFont="1" applyFill="1" applyBorder="1" applyAlignment="1">
      <alignment horizontal="left" vertical="center" wrapText="1"/>
    </xf>
    <xf numFmtId="0" fontId="7" fillId="4" borderId="79" xfId="1" applyFont="1" applyFill="1" applyBorder="1" applyAlignment="1">
      <alignment horizontal="left" vertical="center" wrapText="1"/>
    </xf>
    <xf numFmtId="0" fontId="7" fillId="4" borderId="79" xfId="1" applyFont="1" applyFill="1" applyBorder="1" applyAlignment="1">
      <alignment horizontal="center" vertical="center" wrapText="1"/>
    </xf>
    <xf numFmtId="0" fontId="7" fillId="4" borderId="71" xfId="1" applyFont="1" applyFill="1" applyBorder="1" applyAlignment="1">
      <alignment horizontal="left" vertical="center" wrapText="1"/>
    </xf>
    <xf numFmtId="0" fontId="7" fillId="4" borderId="82" xfId="1" applyFont="1" applyFill="1" applyBorder="1" applyAlignment="1">
      <alignment horizontal="center" vertical="center" wrapText="1"/>
    </xf>
    <xf numFmtId="0" fontId="7" fillId="4" borderId="30" xfId="1" applyFont="1" applyFill="1" applyBorder="1" applyAlignment="1">
      <alignment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12" fillId="12" borderId="0" xfId="14" applyFill="1"/>
    <xf numFmtId="0" fontId="7" fillId="4" borderId="71" xfId="1" applyFont="1" applyFill="1" applyBorder="1" applyAlignment="1">
      <alignment vertical="center" wrapText="1"/>
    </xf>
    <xf numFmtId="0" fontId="12" fillId="10" borderId="0" xfId="14" applyFill="1"/>
    <xf numFmtId="0" fontId="8" fillId="11" borderId="80" xfId="1" applyFont="1" applyFill="1" applyBorder="1" applyAlignment="1">
      <alignment horizontal="center" vertical="center" wrapText="1"/>
    </xf>
    <xf numFmtId="0" fontId="8" fillId="4" borderId="30" xfId="1" applyFont="1" applyFill="1" applyBorder="1" applyAlignment="1">
      <alignment horizontal="left" vertical="center" wrapText="1"/>
    </xf>
    <xf numFmtId="0" fontId="8" fillId="4" borderId="7" xfId="1" applyFont="1" applyFill="1" applyBorder="1" applyAlignment="1">
      <alignment horizontal="left" vertical="center" wrapText="1"/>
    </xf>
    <xf numFmtId="0" fontId="8" fillId="4" borderId="6" xfId="1" applyFont="1" applyFill="1" applyBorder="1" applyAlignment="1">
      <alignment horizontal="left" vertical="center" wrapText="1"/>
    </xf>
    <xf numFmtId="0" fontId="7" fillId="0" borderId="65" xfId="14" applyFont="1" applyBorder="1" applyAlignment="1">
      <alignment vertical="center" wrapText="1"/>
    </xf>
    <xf numFmtId="0" fontId="7" fillId="4" borderId="65" xfId="1" applyFont="1" applyFill="1" applyBorder="1" applyAlignment="1">
      <alignment horizontal="center" vertical="center" wrapText="1"/>
    </xf>
    <xf numFmtId="0" fontId="66" fillId="0" borderId="6" xfId="1" applyFont="1" applyFill="1" applyBorder="1" applyAlignment="1">
      <alignment vertical="center" wrapText="1"/>
    </xf>
    <xf numFmtId="0" fontId="63" fillId="0" borderId="81" xfId="1" applyFont="1" applyFill="1" applyBorder="1" applyAlignment="1">
      <alignment horizontal="left" vertical="center" wrapText="1"/>
    </xf>
    <xf numFmtId="0" fontId="61" fillId="0" borderId="7" xfId="14" applyFont="1" applyFill="1" applyBorder="1" applyAlignment="1">
      <alignment vertical="center" wrapText="1"/>
    </xf>
    <xf numFmtId="0" fontId="61" fillId="0" borderId="76" xfId="1" applyFont="1" applyFill="1" applyBorder="1" applyAlignment="1">
      <alignment horizontal="center" vertical="center" wrapText="1"/>
    </xf>
    <xf numFmtId="0" fontId="67" fillId="0" borderId="9" xfId="1" applyFont="1" applyFill="1" applyBorder="1" applyAlignment="1">
      <alignment vertical="center" wrapText="1"/>
    </xf>
    <xf numFmtId="0" fontId="62" fillId="10" borderId="1" xfId="1" applyFont="1" applyFill="1" applyBorder="1" applyAlignment="1">
      <alignment horizontal="left" vertical="center" wrapText="1"/>
    </xf>
    <xf numFmtId="0" fontId="62" fillId="10" borderId="3" xfId="1" applyFont="1" applyFill="1" applyBorder="1" applyAlignment="1">
      <alignment horizontal="left" vertical="center" wrapText="1"/>
    </xf>
    <xf numFmtId="0" fontId="67" fillId="0" borderId="7" xfId="1" applyFont="1" applyFill="1" applyBorder="1" applyAlignment="1">
      <alignment vertical="center" wrapText="1"/>
    </xf>
    <xf numFmtId="0" fontId="61" fillId="0" borderId="71" xfId="1" applyFont="1" applyFill="1" applyBorder="1" applyAlignment="1">
      <alignment vertical="center" wrapText="1"/>
    </xf>
    <xf numFmtId="49" fontId="61" fillId="0" borderId="82" xfId="14" applyNumberFormat="1" applyFont="1" applyFill="1" applyBorder="1" applyAlignment="1">
      <alignment horizontal="center" vertical="center" wrapText="1"/>
    </xf>
    <xf numFmtId="0" fontId="61" fillId="4" borderId="0" xfId="1" applyFont="1" applyFill="1" applyBorder="1" applyAlignment="1">
      <alignment horizontal="left" vertical="center" wrapText="1"/>
    </xf>
    <xf numFmtId="49" fontId="61" fillId="4" borderId="76" xfId="14" applyNumberFormat="1" applyFont="1" applyFill="1" applyBorder="1" applyAlignment="1">
      <alignment horizontal="center" vertical="center" wrapText="1"/>
    </xf>
    <xf numFmtId="0" fontId="67" fillId="0" borderId="6" xfId="1" applyFont="1" applyFill="1" applyBorder="1" applyAlignment="1">
      <alignment vertical="center" wrapText="1"/>
    </xf>
    <xf numFmtId="0" fontId="68" fillId="10" borderId="73" xfId="1" applyFont="1" applyFill="1" applyBorder="1" applyAlignment="1">
      <alignment horizontal="center" vertical="center" wrapText="1"/>
    </xf>
    <xf numFmtId="0" fontId="68" fillId="10" borderId="6" xfId="1" applyFont="1" applyFill="1" applyBorder="1" applyAlignment="1">
      <alignment horizontal="left" vertical="center" wrapText="1"/>
    </xf>
    <xf numFmtId="0" fontId="68" fillId="10" borderId="75" xfId="1" applyFont="1" applyFill="1" applyBorder="1" applyAlignment="1">
      <alignment horizontal="left" vertical="center" wrapText="1"/>
    </xf>
    <xf numFmtId="3" fontId="57" fillId="10" borderId="7" xfId="14" applyNumberFormat="1" applyFont="1" applyFill="1" applyBorder="1" applyAlignment="1">
      <alignment horizontal="right" vertical="center"/>
    </xf>
    <xf numFmtId="0" fontId="65" fillId="11" borderId="76" xfId="1" applyFont="1" applyFill="1" applyBorder="1" applyAlignment="1">
      <alignment horizontal="left" vertical="center" wrapText="1"/>
    </xf>
    <xf numFmtId="0" fontId="65" fillId="4" borderId="71" xfId="1" applyFont="1" applyFill="1" applyBorder="1" applyAlignment="1">
      <alignment vertical="center" wrapText="1"/>
    </xf>
    <xf numFmtId="0" fontId="66" fillId="0" borderId="71" xfId="1" applyFont="1" applyFill="1" applyBorder="1" applyAlignment="1">
      <alignment vertical="center" wrapText="1"/>
    </xf>
    <xf numFmtId="0" fontId="65" fillId="11" borderId="75" xfId="1" applyFont="1" applyFill="1" applyBorder="1" applyAlignment="1">
      <alignment horizontal="left" vertical="center" wrapText="1"/>
    </xf>
    <xf numFmtId="0" fontId="61" fillId="0" borderId="21" xfId="1" applyFont="1" applyFill="1" applyBorder="1" applyAlignment="1">
      <alignment vertical="center" wrapText="1"/>
    </xf>
    <xf numFmtId="49" fontId="61" fillId="4" borderId="20" xfId="14" applyNumberFormat="1" applyFont="1" applyFill="1" applyBorder="1" applyAlignment="1">
      <alignment horizontal="center" vertical="center" wrapText="1"/>
    </xf>
    <xf numFmtId="0" fontId="61" fillId="4" borderId="8" xfId="1" applyFont="1" applyFill="1" applyBorder="1" applyAlignment="1">
      <alignment horizontal="left" vertical="center" wrapText="1"/>
    </xf>
    <xf numFmtId="49" fontId="63" fillId="11" borderId="75" xfId="1" applyNumberFormat="1" applyFont="1" applyFill="1" applyBorder="1" applyAlignment="1">
      <alignment horizontal="center" vertical="center" wrapText="1"/>
    </xf>
    <xf numFmtId="49" fontId="63" fillId="11" borderId="2" xfId="1" applyNumberFormat="1" applyFont="1" applyFill="1" applyBorder="1" applyAlignment="1">
      <alignment horizontal="center" vertical="center" wrapText="1"/>
    </xf>
    <xf numFmtId="3" fontId="51" fillId="11" borderId="17" xfId="14" applyNumberFormat="1" applyFont="1" applyFill="1" applyBorder="1" applyAlignment="1">
      <alignment horizontal="right" vertical="center"/>
    </xf>
    <xf numFmtId="10" fontId="58" fillId="11" borderId="70" xfId="14" applyNumberFormat="1" applyFont="1" applyFill="1" applyBorder="1" applyAlignment="1">
      <alignment horizontal="right" vertical="center"/>
    </xf>
    <xf numFmtId="49" fontId="61" fillId="0" borderId="71" xfId="1" applyNumberFormat="1" applyFont="1" applyFill="1" applyBorder="1" applyAlignment="1">
      <alignment horizontal="center" vertical="center" wrapText="1"/>
    </xf>
    <xf numFmtId="10" fontId="59" fillId="0" borderId="72" xfId="14" applyNumberFormat="1" applyFont="1" applyFill="1" applyBorder="1" applyAlignment="1">
      <alignment horizontal="right" vertical="center"/>
    </xf>
    <xf numFmtId="3" fontId="59" fillId="0" borderId="72" xfId="17" applyNumberFormat="1" applyFont="1" applyFill="1" applyBorder="1" applyAlignment="1">
      <alignment horizontal="right" vertical="center"/>
    </xf>
    <xf numFmtId="0" fontId="61" fillId="4" borderId="82" xfId="1" applyFont="1" applyFill="1" applyBorder="1" applyAlignment="1">
      <alignment horizontal="left" vertical="center" wrapText="1"/>
    </xf>
    <xf numFmtId="49" fontId="61" fillId="4" borderId="71" xfId="1" applyNumberFormat="1" applyFont="1" applyFill="1" applyBorder="1" applyAlignment="1">
      <alignment horizontal="center" vertical="center" wrapText="1"/>
    </xf>
    <xf numFmtId="3" fontId="5" fillId="4" borderId="20" xfId="14" applyNumberFormat="1" applyFont="1" applyFill="1" applyBorder="1" applyAlignment="1">
      <alignment horizontal="right" vertical="center"/>
    </xf>
    <xf numFmtId="10" fontId="58" fillId="0" borderId="72" xfId="14" applyNumberFormat="1" applyFont="1" applyFill="1" applyBorder="1" applyAlignment="1">
      <alignment horizontal="right" vertical="center"/>
    </xf>
    <xf numFmtId="3" fontId="58" fillId="0" borderId="72" xfId="17" applyNumberFormat="1" applyFont="1" applyFill="1" applyBorder="1" applyAlignment="1">
      <alignment horizontal="right" vertical="center"/>
    </xf>
    <xf numFmtId="10" fontId="55" fillId="0" borderId="20" xfId="14" applyNumberFormat="1" applyFont="1" applyFill="1" applyBorder="1" applyAlignment="1">
      <alignment horizontal="right" vertical="center"/>
    </xf>
    <xf numFmtId="0" fontId="61" fillId="4" borderId="16" xfId="1" applyFont="1" applyFill="1" applyBorder="1" applyAlignment="1">
      <alignment horizontal="left" vertical="center" wrapText="1"/>
    </xf>
    <xf numFmtId="49" fontId="61" fillId="4" borderId="7" xfId="1" applyNumberFormat="1" applyFont="1" applyFill="1" applyBorder="1" applyAlignment="1">
      <alignment horizontal="center" vertical="center" wrapText="1"/>
    </xf>
    <xf numFmtId="3" fontId="5" fillId="4" borderId="77" xfId="14" applyNumberFormat="1" applyFont="1" applyFill="1" applyBorder="1" applyAlignment="1">
      <alignment horizontal="right" vertical="center"/>
    </xf>
    <xf numFmtId="10" fontId="58" fillId="0" borderId="16" xfId="14" applyNumberFormat="1" applyFont="1" applyFill="1" applyBorder="1" applyAlignment="1">
      <alignment horizontal="right" vertical="center"/>
    </xf>
    <xf numFmtId="3" fontId="58" fillId="0" borderId="16" xfId="17" applyNumberFormat="1" applyFont="1" applyFill="1" applyBorder="1" applyAlignment="1">
      <alignment horizontal="right" vertical="center"/>
    </xf>
    <xf numFmtId="10" fontId="55" fillId="0" borderId="77" xfId="14" applyNumberFormat="1" applyFont="1" applyFill="1" applyBorder="1" applyAlignment="1">
      <alignment horizontal="right" vertical="center"/>
    </xf>
    <xf numFmtId="0" fontId="63" fillId="4" borderId="7" xfId="1" applyFont="1" applyFill="1" applyBorder="1" applyAlignment="1">
      <alignment vertical="center" wrapText="1"/>
    </xf>
    <xf numFmtId="0" fontId="61" fillId="4" borderId="71" xfId="1" applyFont="1" applyFill="1" applyBorder="1" applyAlignment="1">
      <alignment vertical="center" wrapText="1"/>
    </xf>
    <xf numFmtId="10" fontId="59" fillId="4" borderId="58" xfId="14" applyNumberFormat="1" applyFont="1" applyFill="1" applyBorder="1" applyAlignment="1">
      <alignment horizontal="right" vertical="center"/>
    </xf>
    <xf numFmtId="3" fontId="59" fillId="4" borderId="82" xfId="17" applyNumberFormat="1" applyFont="1" applyFill="1" applyBorder="1" applyAlignment="1">
      <alignment horizontal="right" vertical="center"/>
    </xf>
    <xf numFmtId="0" fontId="63" fillId="4" borderId="6" xfId="1" applyFont="1" applyFill="1" applyBorder="1" applyAlignment="1">
      <alignment vertical="center" wrapText="1"/>
    </xf>
    <xf numFmtId="0" fontId="61" fillId="4" borderId="30" xfId="1" applyFont="1" applyFill="1" applyBorder="1" applyAlignment="1">
      <alignment vertical="center" wrapText="1"/>
    </xf>
    <xf numFmtId="3" fontId="5" fillId="4" borderId="29" xfId="14" applyNumberFormat="1" applyFont="1" applyFill="1" applyBorder="1" applyAlignment="1">
      <alignment horizontal="right" vertical="center"/>
    </xf>
    <xf numFmtId="10" fontId="59" fillId="4" borderId="66" xfId="14" applyNumberFormat="1" applyFont="1" applyFill="1" applyBorder="1" applyAlignment="1">
      <alignment horizontal="right" vertical="center"/>
    </xf>
    <xf numFmtId="3" fontId="59" fillId="4" borderId="66" xfId="17" applyNumberFormat="1" applyFont="1" applyFill="1" applyBorder="1" applyAlignment="1">
      <alignment horizontal="right" vertical="center"/>
    </xf>
    <xf numFmtId="0" fontId="63" fillId="0" borderId="7" xfId="1" applyFont="1" applyFill="1" applyBorder="1" applyAlignment="1">
      <alignment vertical="center" wrapText="1"/>
    </xf>
    <xf numFmtId="49" fontId="61" fillId="0" borderId="8" xfId="1" applyNumberFormat="1" applyFont="1" applyFill="1" applyBorder="1" applyAlignment="1">
      <alignment horizontal="center" vertical="center" wrapText="1"/>
    </xf>
    <xf numFmtId="10" fontId="59" fillId="4" borderId="16" xfId="14" applyNumberFormat="1" applyFont="1" applyFill="1" applyBorder="1" applyAlignment="1">
      <alignment horizontal="right" vertical="center"/>
    </xf>
    <xf numFmtId="3" fontId="59" fillId="4" borderId="16" xfId="17" applyNumberFormat="1" applyFont="1" applyFill="1" applyBorder="1" applyAlignment="1">
      <alignment horizontal="right" vertical="center"/>
    </xf>
    <xf numFmtId="0" fontId="61" fillId="4" borderId="82" xfId="1" applyFont="1" applyFill="1" applyBorder="1" applyAlignment="1">
      <alignment vertical="center" wrapText="1"/>
    </xf>
    <xf numFmtId="10" fontId="59" fillId="4" borderId="72" xfId="14" applyNumberFormat="1" applyFont="1" applyFill="1" applyBorder="1" applyAlignment="1">
      <alignment horizontal="right" vertical="center"/>
    </xf>
    <xf numFmtId="3" fontId="59" fillId="4" borderId="72" xfId="17" applyNumberFormat="1" applyFont="1" applyFill="1" applyBorder="1" applyAlignment="1">
      <alignment horizontal="right" vertical="center"/>
    </xf>
    <xf numFmtId="0" fontId="61" fillId="4" borderId="79" xfId="1" applyFont="1" applyFill="1" applyBorder="1" applyAlignment="1">
      <alignment horizontal="left" vertical="center" wrapText="1"/>
    </xf>
    <xf numFmtId="3" fontId="5" fillId="4" borderId="12" xfId="14" applyNumberFormat="1" applyFont="1" applyFill="1" applyBorder="1" applyAlignment="1">
      <alignment horizontal="right" vertical="center"/>
    </xf>
    <xf numFmtId="0" fontId="63" fillId="4" borderId="8" xfId="1" applyFont="1" applyFill="1" applyBorder="1" applyAlignment="1">
      <alignment vertical="center" wrapText="1"/>
    </xf>
    <xf numFmtId="0" fontId="61" fillId="4" borderId="71" xfId="1" applyFont="1" applyFill="1" applyBorder="1" applyAlignment="1">
      <alignment horizontal="left" vertical="center" wrapText="1"/>
    </xf>
    <xf numFmtId="10" fontId="33" fillId="4" borderId="10" xfId="14" applyNumberFormat="1" applyFont="1" applyFill="1" applyBorder="1" applyAlignment="1">
      <alignment horizontal="right" vertical="center"/>
    </xf>
    <xf numFmtId="0" fontId="61" fillId="4" borderId="0" xfId="1" applyFont="1" applyFill="1" applyBorder="1" applyAlignment="1">
      <alignment vertical="center" wrapText="1"/>
    </xf>
    <xf numFmtId="49" fontId="61" fillId="4" borderId="8" xfId="1" applyNumberFormat="1" applyFont="1" applyFill="1" applyBorder="1" applyAlignment="1">
      <alignment horizontal="center" vertical="center" wrapText="1"/>
    </xf>
    <xf numFmtId="3" fontId="5" fillId="4" borderId="0" xfId="14" applyNumberFormat="1" applyFont="1" applyFill="1" applyBorder="1" applyAlignment="1">
      <alignment horizontal="right" vertical="center"/>
    </xf>
    <xf numFmtId="10" fontId="33" fillId="4" borderId="17" xfId="14" applyNumberFormat="1" applyFont="1" applyFill="1" applyBorder="1" applyAlignment="1">
      <alignment horizontal="right" vertical="center"/>
    </xf>
    <xf numFmtId="0" fontId="61" fillId="4" borderId="78" xfId="1" quotePrefix="1" applyFont="1" applyFill="1" applyBorder="1" applyAlignment="1">
      <alignment horizontal="left" vertical="center" wrapText="1"/>
    </xf>
    <xf numFmtId="3" fontId="59" fillId="4" borderId="78" xfId="17" applyNumberFormat="1" applyFont="1" applyFill="1" applyBorder="1" applyAlignment="1">
      <alignment horizontal="right" vertical="center"/>
    </xf>
    <xf numFmtId="10" fontId="5" fillId="4" borderId="78" xfId="14" applyNumberFormat="1" applyFont="1" applyFill="1" applyBorder="1" applyAlignment="1">
      <alignment horizontal="right" vertical="center"/>
    </xf>
    <xf numFmtId="3" fontId="5" fillId="4" borderId="78" xfId="17" applyNumberFormat="1" applyFont="1" applyFill="1" applyBorder="1" applyAlignment="1">
      <alignment horizontal="right" vertical="center"/>
    </xf>
    <xf numFmtId="49" fontId="63" fillId="11" borderId="65" xfId="1" applyNumberFormat="1" applyFont="1" applyFill="1" applyBorder="1" applyAlignment="1">
      <alignment horizontal="center" vertical="center" wrapText="1"/>
    </xf>
    <xf numFmtId="3" fontId="51" fillId="11" borderId="67" xfId="14" applyNumberFormat="1" applyFont="1" applyFill="1" applyBorder="1" applyAlignment="1">
      <alignment horizontal="right" vertical="center"/>
    </xf>
    <xf numFmtId="10" fontId="51" fillId="11" borderId="66" xfId="14" applyNumberFormat="1" applyFont="1" applyFill="1" applyBorder="1" applyAlignment="1">
      <alignment horizontal="right" vertical="center"/>
    </xf>
    <xf numFmtId="0" fontId="62" fillId="10" borderId="6" xfId="1" applyFont="1" applyFill="1" applyBorder="1" applyAlignment="1">
      <alignment horizontal="left" vertical="center" wrapText="1"/>
    </xf>
    <xf numFmtId="0" fontId="62" fillId="10" borderId="75" xfId="1" applyFont="1" applyFill="1" applyBorder="1" applyAlignment="1">
      <alignment horizontal="left" vertical="center" wrapText="1"/>
    </xf>
    <xf numFmtId="0" fontId="63" fillId="4" borderId="8" xfId="1" applyFont="1" applyFill="1" applyBorder="1" applyAlignment="1">
      <alignment horizontal="center" vertical="center" wrapText="1"/>
    </xf>
    <xf numFmtId="49" fontId="63" fillId="11" borderId="29" xfId="1" applyNumberFormat="1" applyFont="1" applyFill="1" applyBorder="1" applyAlignment="1">
      <alignment horizontal="center" vertical="center" wrapText="1"/>
    </xf>
    <xf numFmtId="0" fontId="66" fillId="4" borderId="71" xfId="1" applyFont="1" applyFill="1" applyBorder="1" applyAlignment="1">
      <alignment horizontal="left" vertical="center" wrapText="1"/>
    </xf>
    <xf numFmtId="49" fontId="66" fillId="4" borderId="82" xfId="1" applyNumberFormat="1" applyFont="1" applyFill="1" applyBorder="1" applyAlignment="1">
      <alignment horizontal="center" vertical="center" wrapText="1"/>
    </xf>
    <xf numFmtId="0" fontId="63" fillId="11" borderId="2" xfId="1" applyFont="1" applyFill="1" applyBorder="1" applyAlignment="1">
      <alignment horizontal="left" vertical="center" wrapText="1"/>
    </xf>
    <xf numFmtId="0" fontId="61" fillId="4" borderId="20" xfId="14" applyFont="1" applyFill="1" applyBorder="1" applyAlignment="1">
      <alignment vertical="center" wrapText="1"/>
    </xf>
    <xf numFmtId="0" fontId="61" fillId="0" borderId="71" xfId="14" applyFont="1" applyBorder="1" applyAlignment="1">
      <alignment vertical="center" wrapText="1"/>
    </xf>
    <xf numFmtId="0" fontId="61" fillId="0" borderId="71" xfId="14" quotePrefix="1" applyFont="1" applyBorder="1" applyAlignment="1">
      <alignment vertical="center" wrapText="1"/>
    </xf>
    <xf numFmtId="0" fontId="7" fillId="0" borderId="8" xfId="14" quotePrefix="1" applyFont="1" applyBorder="1" applyAlignment="1">
      <alignment vertical="center" wrapText="1"/>
    </xf>
    <xf numFmtId="3" fontId="12" fillId="12" borderId="0" xfId="14" applyNumberFormat="1" applyFill="1"/>
    <xf numFmtId="0" fontId="7" fillId="0" borderId="71" xfId="14" quotePrefix="1" applyFont="1" applyBorder="1" applyAlignment="1">
      <alignment vertical="center" wrapText="1"/>
    </xf>
    <xf numFmtId="0" fontId="12" fillId="12" borderId="0" xfId="14" applyFont="1" applyFill="1"/>
    <xf numFmtId="49" fontId="8" fillId="11" borderId="76" xfId="1" applyNumberFormat="1" applyFont="1" applyFill="1" applyBorder="1" applyAlignment="1">
      <alignment horizontal="center" vertical="center" wrapText="1"/>
    </xf>
    <xf numFmtId="0" fontId="8" fillId="4" borderId="65" xfId="1" applyFont="1" applyFill="1" applyBorder="1" applyAlignment="1">
      <alignment horizontal="left" vertical="center" wrapText="1"/>
    </xf>
    <xf numFmtId="0" fontId="7" fillId="4" borderId="67" xfId="1" quotePrefix="1" applyFont="1" applyFill="1" applyBorder="1" applyAlignment="1">
      <alignment horizontal="left" vertical="center" wrapText="1"/>
    </xf>
    <xf numFmtId="49" fontId="7" fillId="4" borderId="29" xfId="1" applyNumberFormat="1" applyFont="1" applyFill="1" applyBorder="1" applyAlignment="1">
      <alignment horizontal="center" vertical="center" wrapText="1"/>
    </xf>
    <xf numFmtId="3" fontId="59" fillId="4" borderId="65" xfId="17" applyNumberFormat="1" applyFont="1" applyFill="1" applyBorder="1" applyAlignment="1">
      <alignment horizontal="right" vertical="center"/>
    </xf>
    <xf numFmtId="10" fontId="5" fillId="4" borderId="67" xfId="14" applyNumberFormat="1" applyFont="1" applyFill="1" applyBorder="1" applyAlignment="1">
      <alignment horizontal="right" vertical="center"/>
    </xf>
    <xf numFmtId="3" fontId="56" fillId="3" borderId="1" xfId="14" applyNumberFormat="1" applyFont="1" applyFill="1" applyBorder="1" applyAlignment="1">
      <alignment horizontal="right" vertical="center"/>
    </xf>
    <xf numFmtId="0" fontId="60" fillId="4" borderId="9" xfId="1" applyFont="1" applyFill="1" applyBorder="1" applyAlignment="1">
      <alignment horizontal="center" vertical="center" wrapText="1"/>
    </xf>
    <xf numFmtId="0" fontId="60" fillId="4" borderId="7" xfId="1" applyFont="1" applyFill="1" applyBorder="1" applyAlignment="1">
      <alignment horizontal="center" vertical="center" wrapText="1"/>
    </xf>
    <xf numFmtId="0" fontId="63" fillId="11" borderId="74" xfId="1" applyFont="1" applyFill="1" applyBorder="1" applyAlignment="1">
      <alignment horizontal="left" vertical="center" wrapText="1"/>
    </xf>
    <xf numFmtId="0" fontId="61" fillId="4" borderId="78" xfId="1" applyFont="1" applyFill="1" applyBorder="1" applyAlignment="1">
      <alignment horizontal="left" vertical="center" wrapText="1"/>
    </xf>
    <xf numFmtId="0" fontId="60" fillId="4" borderId="7" xfId="1" applyFont="1" applyFill="1" applyBorder="1" applyAlignment="1">
      <alignment vertical="center" wrapText="1"/>
    </xf>
    <xf numFmtId="0" fontId="61" fillId="4" borderId="66" xfId="1" applyFont="1" applyFill="1" applyBorder="1" applyAlignment="1">
      <alignment horizontal="left" vertical="center" wrapText="1"/>
    </xf>
    <xf numFmtId="0" fontId="61" fillId="4" borderId="29" xfId="1" applyFont="1" applyFill="1" applyBorder="1" applyAlignment="1">
      <alignment horizontal="center" vertical="center" wrapText="1"/>
    </xf>
    <xf numFmtId="3" fontId="59" fillId="4" borderId="65" xfId="14" applyNumberFormat="1" applyFont="1" applyFill="1" applyBorder="1" applyAlignment="1">
      <alignment horizontal="right" vertical="center"/>
    </xf>
    <xf numFmtId="0" fontId="67" fillId="4" borderId="7" xfId="1" applyFont="1" applyFill="1" applyBorder="1" applyAlignment="1">
      <alignment vertical="center" wrapText="1"/>
    </xf>
    <xf numFmtId="0" fontId="63" fillId="4" borderId="30" xfId="1" applyFont="1" applyFill="1" applyBorder="1" applyAlignment="1">
      <alignment vertical="center" wrapText="1"/>
    </xf>
    <xf numFmtId="0" fontId="61" fillId="4" borderId="72" xfId="1" applyFont="1" applyFill="1" applyBorder="1" applyAlignment="1">
      <alignment horizontal="left" vertical="center" wrapText="1"/>
    </xf>
    <xf numFmtId="0" fontId="67" fillId="4" borderId="6" xfId="1" applyFont="1" applyFill="1" applyBorder="1" applyAlignment="1">
      <alignment vertical="center" wrapText="1"/>
    </xf>
    <xf numFmtId="0" fontId="61" fillId="4" borderId="73" xfId="14" applyFont="1" applyFill="1" applyBorder="1" applyAlignment="1">
      <alignment horizontal="left" vertical="center" wrapText="1"/>
    </xf>
    <xf numFmtId="0" fontId="61" fillId="4" borderId="75" xfId="1" applyFont="1" applyFill="1" applyBorder="1" applyAlignment="1">
      <alignment horizontal="center" vertical="center" wrapText="1"/>
    </xf>
    <xf numFmtId="3" fontId="59" fillId="4" borderId="6" xfId="14" applyNumberFormat="1" applyFont="1" applyFill="1" applyBorder="1" applyAlignment="1">
      <alignment horizontal="right" vertical="center"/>
    </xf>
    <xf numFmtId="3" fontId="33" fillId="4" borderId="6" xfId="14" applyNumberFormat="1" applyFont="1" applyFill="1" applyBorder="1" applyAlignment="1">
      <alignment horizontal="right" vertical="center"/>
    </xf>
    <xf numFmtId="0" fontId="68" fillId="10" borderId="6" xfId="1" applyFont="1" applyFill="1" applyBorder="1" applyAlignment="1">
      <alignment horizontal="center" vertical="center" wrapText="1"/>
    </xf>
    <xf numFmtId="0" fontId="68" fillId="10" borderId="6" xfId="1" applyFont="1" applyFill="1" applyBorder="1" applyAlignment="1">
      <alignment vertical="center" wrapText="1"/>
    </xf>
    <xf numFmtId="0" fontId="68" fillId="10" borderId="75" xfId="1" applyFont="1" applyFill="1" applyBorder="1" applyAlignment="1">
      <alignment vertical="center" wrapText="1"/>
    </xf>
    <xf numFmtId="3" fontId="56" fillId="10" borderId="7" xfId="17" applyNumberFormat="1" applyFont="1" applyFill="1" applyBorder="1" applyAlignment="1">
      <alignment horizontal="right" vertical="center"/>
    </xf>
    <xf numFmtId="0" fontId="63" fillId="11" borderId="18" xfId="1" applyFont="1" applyFill="1" applyBorder="1" applyAlignment="1">
      <alignment horizontal="left" vertical="center" wrapText="1"/>
    </xf>
    <xf numFmtId="3" fontId="58" fillId="11" borderId="2" xfId="17" applyNumberFormat="1" applyFont="1" applyFill="1" applyBorder="1" applyAlignment="1">
      <alignment horizontal="right" vertical="center"/>
    </xf>
    <xf numFmtId="0" fontId="63" fillId="11" borderId="82" xfId="1" applyFont="1" applyFill="1" applyBorder="1" applyAlignment="1">
      <alignment horizontal="left" vertical="center" wrapText="1"/>
    </xf>
    <xf numFmtId="3" fontId="55" fillId="11" borderId="71" xfId="14" applyNumberFormat="1" applyFont="1" applyFill="1" applyBorder="1" applyAlignment="1">
      <alignment horizontal="right" vertical="center"/>
    </xf>
    <xf numFmtId="3" fontId="58" fillId="11" borderId="7" xfId="17" applyNumberFormat="1" applyFont="1" applyFill="1" applyBorder="1" applyAlignment="1">
      <alignment horizontal="right" vertical="center"/>
    </xf>
    <xf numFmtId="0" fontId="65" fillId="4" borderId="65" xfId="1" applyFont="1" applyFill="1" applyBorder="1" applyAlignment="1">
      <alignment vertical="center" wrapText="1"/>
    </xf>
    <xf numFmtId="0" fontId="66" fillId="4" borderId="65" xfId="14" applyFont="1" applyFill="1" applyBorder="1" applyAlignment="1">
      <alignment horizontal="left" vertical="center" wrapText="1"/>
    </xf>
    <xf numFmtId="3" fontId="56" fillId="10" borderId="1" xfId="17" applyNumberFormat="1" applyFont="1" applyFill="1" applyBorder="1" applyAlignment="1">
      <alignment horizontal="right" vertical="center"/>
    </xf>
    <xf numFmtId="0" fontId="12" fillId="4" borderId="0" xfId="14" applyFont="1" applyFill="1"/>
    <xf numFmtId="3" fontId="58" fillId="11" borderId="71" xfId="17" applyNumberFormat="1" applyFont="1" applyFill="1" applyBorder="1" applyAlignment="1">
      <alignment horizontal="right" vertical="center"/>
    </xf>
    <xf numFmtId="3" fontId="33" fillId="4" borderId="30" xfId="14" applyNumberFormat="1" applyFont="1" applyFill="1" applyBorder="1" applyAlignment="1">
      <alignment horizontal="right" vertical="center"/>
    </xf>
    <xf numFmtId="0" fontId="63" fillId="11" borderId="71" xfId="1" applyFont="1" applyFill="1" applyBorder="1" applyAlignment="1">
      <alignment horizontal="left" vertical="center" wrapText="1"/>
    </xf>
    <xf numFmtId="0" fontId="61" fillId="0" borderId="6" xfId="1" applyFont="1" applyFill="1" applyBorder="1" applyAlignment="1">
      <alignment horizontal="left" vertical="center" wrapText="1"/>
    </xf>
    <xf numFmtId="3" fontId="56" fillId="10" borderId="9" xfId="17" applyNumberFormat="1" applyFont="1" applyFill="1" applyBorder="1" applyAlignment="1">
      <alignment horizontal="right" vertical="center"/>
    </xf>
    <xf numFmtId="3" fontId="58" fillId="11" borderId="9" xfId="17" applyNumberFormat="1" applyFont="1" applyFill="1" applyBorder="1" applyAlignment="1">
      <alignment horizontal="right" vertical="center"/>
    </xf>
    <xf numFmtId="0" fontId="63" fillId="0" borderId="6" xfId="1" applyFont="1" applyFill="1" applyBorder="1" applyAlignment="1">
      <alignment horizontal="left" vertical="center" wrapText="1"/>
    </xf>
    <xf numFmtId="0" fontId="61" fillId="0" borderId="73" xfId="1" applyFont="1" applyFill="1" applyBorder="1" applyAlignment="1">
      <alignment horizontal="left" vertical="center" wrapText="1"/>
    </xf>
    <xf numFmtId="0" fontId="61" fillId="0" borderId="75" xfId="1" applyFont="1" applyFill="1" applyBorder="1" applyAlignment="1">
      <alignment horizontal="center" vertical="center" wrapText="1"/>
    </xf>
    <xf numFmtId="0" fontId="66" fillId="4" borderId="16" xfId="1" applyFont="1" applyFill="1" applyBorder="1" applyAlignment="1">
      <alignment vertical="center" wrapText="1"/>
    </xf>
    <xf numFmtId="0" fontId="66" fillId="4" borderId="81" xfId="1" applyFont="1" applyFill="1" applyBorder="1" applyAlignment="1">
      <alignment vertical="center" wrapText="1"/>
    </xf>
    <xf numFmtId="49" fontId="66" fillId="4" borderId="79" xfId="1" applyNumberFormat="1" applyFont="1" applyFill="1" applyBorder="1" applyAlignment="1">
      <alignment horizontal="center" vertical="center" wrapText="1"/>
    </xf>
    <xf numFmtId="0" fontId="12" fillId="10" borderId="0" xfId="14" applyFont="1" applyFill="1"/>
    <xf numFmtId="0" fontId="67" fillId="4" borderId="9" xfId="1" applyFont="1" applyFill="1" applyBorder="1" applyAlignment="1">
      <alignment vertical="center" wrapText="1"/>
    </xf>
    <xf numFmtId="0" fontId="62" fillId="4" borderId="8" xfId="1" applyFont="1" applyFill="1" applyBorder="1" applyAlignment="1">
      <alignment horizontal="center" vertical="center" wrapText="1"/>
    </xf>
    <xf numFmtId="0" fontId="61" fillId="4" borderId="16" xfId="1" applyFont="1" applyFill="1" applyBorder="1" applyAlignment="1">
      <alignment vertical="center" wrapText="1"/>
    </xf>
    <xf numFmtId="10" fontId="74" fillId="0" borderId="20" xfId="14" applyNumberFormat="1" applyFont="1" applyFill="1" applyBorder="1" applyAlignment="1">
      <alignment horizontal="left" vertical="center" wrapText="1"/>
    </xf>
    <xf numFmtId="3" fontId="58" fillId="11" borderId="74" xfId="14" applyNumberFormat="1" applyFont="1" applyFill="1" applyBorder="1" applyAlignment="1">
      <alignment horizontal="right" vertical="center"/>
    </xf>
    <xf numFmtId="0" fontId="62" fillId="4" borderId="64" xfId="1" applyFont="1" applyFill="1" applyBorder="1" applyAlignment="1">
      <alignment vertical="center" wrapText="1"/>
    </xf>
    <xf numFmtId="0" fontId="61" fillId="0" borderId="59" xfId="1" applyFont="1" applyFill="1" applyBorder="1" applyAlignment="1">
      <alignment vertical="center" wrapText="1"/>
    </xf>
    <xf numFmtId="0" fontId="66" fillId="4" borderId="82" xfId="1" quotePrefix="1" applyFont="1" applyFill="1" applyBorder="1" applyAlignment="1">
      <alignment horizontal="center" vertical="center" wrapText="1"/>
    </xf>
    <xf numFmtId="3" fontId="33" fillId="0" borderId="82" xfId="14" applyNumberFormat="1" applyFont="1" applyFill="1" applyBorder="1" applyAlignment="1">
      <alignment horizontal="right" vertical="center"/>
    </xf>
    <xf numFmtId="0" fontId="62" fillId="4" borderId="14" xfId="1" applyFont="1" applyFill="1" applyBorder="1" applyAlignment="1">
      <alignment vertical="center" wrapText="1"/>
    </xf>
    <xf numFmtId="0" fontId="66" fillId="0" borderId="59" xfId="1" applyFont="1" applyFill="1" applyBorder="1" applyAlignment="1">
      <alignment vertical="center" wrapText="1"/>
    </xf>
    <xf numFmtId="3" fontId="59" fillId="0" borderId="82" xfId="14" applyNumberFormat="1" applyFont="1" applyFill="1" applyBorder="1" applyAlignment="1">
      <alignment horizontal="right" vertical="center"/>
    </xf>
    <xf numFmtId="0" fontId="62" fillId="4" borderId="13" xfId="1" applyFont="1" applyFill="1" applyBorder="1" applyAlignment="1">
      <alignment vertical="center" wrapText="1"/>
    </xf>
    <xf numFmtId="0" fontId="61" fillId="0" borderId="47" xfId="1" applyFont="1" applyFill="1" applyBorder="1" applyAlignment="1">
      <alignment vertical="center" wrapText="1"/>
    </xf>
    <xf numFmtId="3" fontId="59" fillId="0" borderId="29" xfId="14" applyNumberFormat="1" applyFont="1" applyFill="1" applyBorder="1" applyAlignment="1">
      <alignment horizontal="right" vertical="center"/>
    </xf>
    <xf numFmtId="0" fontId="62" fillId="4" borderId="48" xfId="1" applyFont="1" applyFill="1" applyBorder="1" applyAlignment="1">
      <alignment vertical="center" wrapText="1"/>
    </xf>
    <xf numFmtId="0" fontId="61" fillId="0" borderId="46" xfId="1" applyFont="1" applyFill="1" applyBorder="1" applyAlignment="1">
      <alignment vertical="center" wrapText="1"/>
    </xf>
    <xf numFmtId="0" fontId="61" fillId="4" borderId="18" xfId="1" applyFont="1" applyFill="1" applyBorder="1" applyAlignment="1">
      <alignment horizontal="center" vertical="center" wrapText="1"/>
    </xf>
    <xf numFmtId="3" fontId="59" fillId="0" borderId="2" xfId="14" applyNumberFormat="1" applyFont="1" applyFill="1" applyBorder="1" applyAlignment="1">
      <alignment horizontal="right" vertical="center"/>
    </xf>
    <xf numFmtId="3" fontId="59" fillId="0" borderId="18" xfId="14" applyNumberFormat="1" applyFont="1" applyFill="1" applyBorder="1" applyAlignment="1">
      <alignment horizontal="right" vertical="center"/>
    </xf>
    <xf numFmtId="10" fontId="59" fillId="0" borderId="2" xfId="14" applyNumberFormat="1" applyFont="1" applyFill="1" applyBorder="1" applyAlignment="1">
      <alignment horizontal="right" vertical="center"/>
    </xf>
    <xf numFmtId="3" fontId="59" fillId="0" borderId="2" xfId="17" applyNumberFormat="1" applyFont="1" applyFill="1" applyBorder="1" applyAlignment="1">
      <alignment horizontal="right" vertical="center"/>
    </xf>
    <xf numFmtId="0" fontId="63" fillId="11" borderId="8" xfId="1" applyFont="1" applyFill="1" applyBorder="1" applyAlignment="1">
      <alignment horizontal="left" vertical="center" wrapText="1"/>
    </xf>
    <xf numFmtId="3" fontId="58" fillId="11" borderId="80" xfId="14" applyNumberFormat="1" applyFont="1" applyFill="1" applyBorder="1" applyAlignment="1">
      <alignment horizontal="right" vertical="center"/>
    </xf>
    <xf numFmtId="0" fontId="62" fillId="4" borderId="10" xfId="1" applyFont="1" applyFill="1" applyBorder="1" applyAlignment="1">
      <alignment horizontal="center" vertical="center" wrapText="1"/>
    </xf>
    <xf numFmtId="3" fontId="59" fillId="0" borderId="75" xfId="14" applyNumberFormat="1" applyFont="1" applyFill="1" applyBorder="1" applyAlignment="1">
      <alignment horizontal="right" vertical="center"/>
    </xf>
    <xf numFmtId="10" fontId="56" fillId="3" borderId="7" xfId="14" applyNumberFormat="1" applyFont="1" applyFill="1" applyBorder="1" applyAlignment="1">
      <alignment horizontal="right" vertical="center"/>
    </xf>
    <xf numFmtId="10" fontId="57" fillId="3" borderId="0" xfId="14" applyNumberFormat="1" applyFont="1" applyFill="1" applyBorder="1" applyAlignment="1">
      <alignment horizontal="right" vertical="center"/>
    </xf>
    <xf numFmtId="0" fontId="67" fillId="4" borderId="7" xfId="1" applyFont="1" applyFill="1" applyBorder="1" applyAlignment="1">
      <alignment horizontal="center" vertical="center" wrapText="1"/>
    </xf>
    <xf numFmtId="0" fontId="67" fillId="4" borderId="58" xfId="1" applyFont="1" applyFill="1" applyBorder="1" applyAlignment="1">
      <alignment vertical="center" wrapText="1"/>
    </xf>
    <xf numFmtId="0" fontId="66" fillId="4" borderId="71" xfId="1" applyFont="1" applyFill="1" applyBorder="1" applyAlignment="1">
      <alignment horizontal="center" vertical="center" wrapText="1"/>
    </xf>
    <xf numFmtId="0" fontId="65" fillId="11" borderId="65" xfId="1" applyFont="1" applyFill="1" applyBorder="1" applyAlignment="1">
      <alignment horizontal="left" vertical="center" wrapText="1"/>
    </xf>
    <xf numFmtId="3" fontId="51" fillId="0" borderId="7" xfId="14" applyNumberFormat="1" applyFont="1" applyFill="1" applyBorder="1" applyAlignment="1">
      <alignment horizontal="right" vertical="center"/>
    </xf>
    <xf numFmtId="10" fontId="51" fillId="0" borderId="0" xfId="14" applyNumberFormat="1" applyFont="1" applyFill="1" applyBorder="1" applyAlignment="1">
      <alignment horizontal="right" vertical="center"/>
    </xf>
    <xf numFmtId="0" fontId="61" fillId="0" borderId="59" xfId="1" applyFont="1" applyFill="1" applyBorder="1" applyAlignment="1">
      <alignment horizontal="left" vertical="center" wrapText="1"/>
    </xf>
    <xf numFmtId="49" fontId="61" fillId="4" borderId="76" xfId="1" applyNumberFormat="1" applyFont="1" applyFill="1" applyBorder="1" applyAlignment="1">
      <alignment horizontal="center" vertical="center" wrapText="1"/>
    </xf>
    <xf numFmtId="0" fontId="61" fillId="0" borderId="80" xfId="1" applyFont="1" applyFill="1" applyBorder="1" applyAlignment="1">
      <alignment horizontal="left" vertical="center" wrapText="1"/>
    </xf>
    <xf numFmtId="0" fontId="61" fillId="0" borderId="29" xfId="1" applyFont="1" applyFill="1" applyBorder="1" applyAlignment="1">
      <alignment horizontal="left" vertical="center" wrapText="1"/>
    </xf>
    <xf numFmtId="0" fontId="61" fillId="0" borderId="8" xfId="1" applyFont="1" applyFill="1" applyBorder="1" applyAlignment="1">
      <alignment horizontal="left" vertical="center" wrapText="1"/>
    </xf>
    <xf numFmtId="0" fontId="61" fillId="0" borderId="82" xfId="1" applyFont="1" applyFill="1" applyBorder="1" applyAlignment="1">
      <alignment horizontal="left" vertical="center" wrapText="1"/>
    </xf>
    <xf numFmtId="0" fontId="61" fillId="0" borderId="76" xfId="1" applyFont="1" applyFill="1" applyBorder="1" applyAlignment="1">
      <alignment horizontal="left" vertical="center" wrapText="1"/>
    </xf>
    <xf numFmtId="0" fontId="61" fillId="0" borderId="0" xfId="1" applyFont="1" applyFill="1" applyBorder="1" applyAlignment="1">
      <alignment horizontal="left" vertical="center" wrapText="1"/>
    </xf>
    <xf numFmtId="0" fontId="61" fillId="0" borderId="79" xfId="1" quotePrefix="1" applyFont="1" applyFill="1" applyBorder="1" applyAlignment="1">
      <alignment horizontal="left" vertical="center" wrapText="1"/>
    </xf>
    <xf numFmtId="0" fontId="63" fillId="11" borderId="82" xfId="1" applyFont="1" applyFill="1" applyBorder="1" applyAlignment="1">
      <alignment horizontal="center" vertical="center" wrapText="1"/>
    </xf>
    <xf numFmtId="0" fontId="61" fillId="4" borderId="16" xfId="1" quotePrefix="1" applyFont="1" applyFill="1" applyBorder="1" applyAlignment="1">
      <alignment horizontal="left" vertical="center" wrapText="1"/>
    </xf>
    <xf numFmtId="0" fontId="61" fillId="4" borderId="80" xfId="1" applyFont="1" applyFill="1" applyBorder="1" applyAlignment="1">
      <alignment horizontal="center" vertical="center" wrapText="1"/>
    </xf>
    <xf numFmtId="0" fontId="61" fillId="4" borderId="20" xfId="1" quotePrefix="1" applyFont="1" applyFill="1" applyBorder="1" applyAlignment="1">
      <alignment horizontal="left" vertical="center" wrapText="1"/>
    </xf>
    <xf numFmtId="0" fontId="61" fillId="4" borderId="71" xfId="1" applyFont="1" applyFill="1" applyBorder="1" applyAlignment="1">
      <alignment horizontal="center" vertical="center" wrapText="1"/>
    </xf>
    <xf numFmtId="3" fontId="5" fillId="0" borderId="72" xfId="14" applyNumberFormat="1" applyFont="1" applyFill="1" applyBorder="1" applyAlignment="1">
      <alignment horizontal="right" vertical="center"/>
    </xf>
    <xf numFmtId="0" fontId="61" fillId="0" borderId="73" xfId="1" quotePrefix="1" applyFont="1" applyFill="1" applyBorder="1" applyAlignment="1">
      <alignment horizontal="left" vertical="center" wrapText="1"/>
    </xf>
    <xf numFmtId="10" fontId="56" fillId="3" borderId="6" xfId="14" applyNumberFormat="1" applyFont="1" applyFill="1" applyBorder="1" applyAlignment="1">
      <alignment horizontal="right" vertical="center"/>
    </xf>
    <xf numFmtId="10" fontId="57" fillId="3" borderId="10" xfId="14" applyNumberFormat="1" applyFont="1" applyFill="1" applyBorder="1" applyAlignment="1">
      <alignment horizontal="right" vertical="center"/>
    </xf>
    <xf numFmtId="0" fontId="60" fillId="4" borderId="9" xfId="1" applyFont="1" applyFill="1" applyBorder="1" applyAlignment="1">
      <alignment vertical="center" wrapText="1"/>
    </xf>
    <xf numFmtId="0" fontId="61" fillId="0" borderId="20" xfId="1" quotePrefix="1" applyFont="1" applyFill="1" applyBorder="1" applyAlignment="1">
      <alignment vertical="center" wrapText="1"/>
    </xf>
    <xf numFmtId="0" fontId="63" fillId="4" borderId="30" xfId="1" applyFont="1" applyFill="1" applyBorder="1" applyAlignment="1">
      <alignment horizontal="center" vertical="center" wrapText="1"/>
    </xf>
    <xf numFmtId="10" fontId="58" fillId="0" borderId="71" xfId="14" applyNumberFormat="1" applyFont="1" applyFill="1" applyBorder="1" applyAlignment="1">
      <alignment horizontal="right" vertical="center"/>
    </xf>
    <xf numFmtId="3" fontId="58" fillId="0" borderId="71" xfId="17" applyNumberFormat="1" applyFont="1" applyFill="1" applyBorder="1" applyAlignment="1">
      <alignment horizontal="right" vertical="center"/>
    </xf>
    <xf numFmtId="10" fontId="51" fillId="0" borderId="20" xfId="14" applyNumberFormat="1" applyFont="1" applyFill="1" applyBorder="1" applyAlignment="1">
      <alignment horizontal="right" vertical="center"/>
    </xf>
    <xf numFmtId="10" fontId="32" fillId="10" borderId="7" xfId="14" applyNumberFormat="1" applyFont="1" applyFill="1" applyBorder="1" applyAlignment="1">
      <alignment horizontal="right" vertical="center"/>
    </xf>
    <xf numFmtId="10" fontId="32" fillId="10" borderId="0" xfId="14" applyNumberFormat="1" applyFont="1" applyFill="1" applyBorder="1" applyAlignment="1">
      <alignment horizontal="right" vertical="center"/>
    </xf>
    <xf numFmtId="0" fontId="8" fillId="11" borderId="18" xfId="1" applyFont="1" applyFill="1" applyBorder="1" applyAlignment="1">
      <alignment horizontal="left" vertical="center" wrapText="1"/>
    </xf>
    <xf numFmtId="49" fontId="7" fillId="4" borderId="80" xfId="1" applyNumberFormat="1" applyFont="1" applyFill="1" applyBorder="1" applyAlignment="1">
      <alignment horizontal="center" vertical="center" wrapText="1"/>
    </xf>
    <xf numFmtId="10" fontId="5" fillId="4" borderId="71" xfId="14" applyNumberFormat="1" applyFont="1" applyFill="1" applyBorder="1" applyAlignment="1">
      <alignment horizontal="right" vertical="center"/>
    </xf>
    <xf numFmtId="3" fontId="5" fillId="4" borderId="71" xfId="17" applyNumberFormat="1" applyFont="1" applyFill="1" applyBorder="1" applyAlignment="1">
      <alignment horizontal="right" vertical="center"/>
    </xf>
    <xf numFmtId="10" fontId="5" fillId="0" borderId="7" xfId="14" applyNumberFormat="1" applyFont="1" applyFill="1" applyBorder="1" applyAlignment="1">
      <alignment horizontal="right" vertical="center"/>
    </xf>
    <xf numFmtId="0" fontId="7" fillId="0" borderId="20" xfId="1" applyFont="1" applyFill="1" applyBorder="1" applyAlignment="1">
      <alignment horizontal="left" vertical="center" wrapText="1"/>
    </xf>
    <xf numFmtId="49" fontId="7" fillId="4" borderId="71" xfId="1" applyNumberFormat="1" applyFont="1" applyFill="1" applyBorder="1" applyAlignment="1">
      <alignment horizontal="center" vertical="center" wrapText="1"/>
    </xf>
    <xf numFmtId="49" fontId="7" fillId="4" borderId="79" xfId="1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vertical="center" wrapText="1"/>
    </xf>
    <xf numFmtId="49" fontId="7" fillId="4" borderId="82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8" fillId="11" borderId="29" xfId="1" applyFont="1" applyFill="1" applyBorder="1" applyAlignment="1">
      <alignment horizontal="left" vertical="center" wrapText="1"/>
    </xf>
    <xf numFmtId="0" fontId="8" fillId="4" borderId="14" xfId="1" applyFont="1" applyFill="1" applyBorder="1" applyAlignment="1">
      <alignment vertical="center" wrapText="1"/>
    </xf>
    <xf numFmtId="0" fontId="7" fillId="4" borderId="71" xfId="1" quotePrefix="1" applyFont="1" applyFill="1" applyBorder="1" applyAlignment="1">
      <alignment horizontal="center" vertical="center" wrapText="1"/>
    </xf>
    <xf numFmtId="0" fontId="7" fillId="0" borderId="59" xfId="18" applyFont="1" applyFill="1" applyBorder="1" applyAlignment="1">
      <alignment vertical="center" wrapText="1"/>
    </xf>
    <xf numFmtId="0" fontId="8" fillId="4" borderId="63" xfId="1" applyFont="1" applyFill="1" applyBorder="1" applyAlignment="1">
      <alignment vertical="center" wrapText="1"/>
    </xf>
    <xf numFmtId="0" fontId="7" fillId="0" borderId="59" xfId="18" applyFont="1" applyFill="1" applyBorder="1" applyAlignment="1">
      <alignment horizontal="left" vertical="center" wrapText="1"/>
    </xf>
    <xf numFmtId="0" fontId="7" fillId="0" borderId="59" xfId="1" quotePrefix="1" applyFont="1" applyFill="1" applyBorder="1" applyAlignment="1">
      <alignment vertical="center" wrapText="1"/>
    </xf>
    <xf numFmtId="0" fontId="7" fillId="0" borderId="53" xfId="1" quotePrefix="1" applyFont="1" applyFill="1" applyBorder="1" applyAlignment="1">
      <alignment vertical="center" wrapText="1"/>
    </xf>
    <xf numFmtId="0" fontId="60" fillId="4" borderId="6" xfId="1" applyFont="1" applyFill="1" applyBorder="1" applyAlignment="1">
      <alignment vertical="center" wrapText="1"/>
    </xf>
    <xf numFmtId="0" fontId="8" fillId="4" borderId="13" xfId="1" applyFont="1" applyFill="1" applyBorder="1" applyAlignment="1">
      <alignment vertical="center" wrapText="1"/>
    </xf>
    <xf numFmtId="0" fontId="7" fillId="0" borderId="47" xfId="1" quotePrefix="1" applyFont="1" applyFill="1" applyBorder="1" applyAlignment="1">
      <alignment vertical="center" wrapText="1"/>
    </xf>
    <xf numFmtId="0" fontId="7" fillId="0" borderId="87" xfId="1" quotePrefix="1" applyFont="1" applyFill="1" applyBorder="1" applyAlignment="1">
      <alignment vertical="center" wrapText="1"/>
    </xf>
    <xf numFmtId="0" fontId="8" fillId="4" borderId="63" xfId="1" applyFont="1" applyFill="1" applyBorder="1" applyAlignment="1">
      <alignment horizontal="center" vertical="center" wrapText="1"/>
    </xf>
    <xf numFmtId="0" fontId="7" fillId="0" borderId="75" xfId="1" quotePrefix="1" applyFont="1" applyFill="1" applyBorder="1" applyAlignment="1">
      <alignment horizontal="left" vertical="center" wrapText="1"/>
    </xf>
    <xf numFmtId="0" fontId="7" fillId="4" borderId="75" xfId="1" applyFont="1" applyFill="1" applyBorder="1" applyAlignment="1">
      <alignment horizontal="center" vertical="center" wrapText="1"/>
    </xf>
    <xf numFmtId="0" fontId="60" fillId="3" borderId="1" xfId="14" applyFont="1" applyFill="1" applyBorder="1" applyAlignment="1">
      <alignment horizontal="center"/>
    </xf>
    <xf numFmtId="3" fontId="57" fillId="3" borderId="7" xfId="14" applyNumberFormat="1" applyFont="1" applyFill="1" applyBorder="1" applyAlignment="1">
      <alignment horizontal="right" vertical="center"/>
    </xf>
    <xf numFmtId="3" fontId="56" fillId="3" borderId="7" xfId="17" applyNumberFormat="1" applyFont="1" applyFill="1" applyBorder="1" applyAlignment="1">
      <alignment horizontal="right" vertical="center"/>
    </xf>
    <xf numFmtId="0" fontId="67" fillId="10" borderId="3" xfId="1" applyFont="1" applyFill="1" applyBorder="1" applyAlignment="1">
      <alignment horizontal="center" vertical="center" wrapText="1"/>
    </xf>
    <xf numFmtId="0" fontId="67" fillId="10" borderId="3" xfId="1" applyFont="1" applyFill="1" applyBorder="1" applyAlignment="1">
      <alignment vertical="center" wrapText="1"/>
    </xf>
    <xf numFmtId="0" fontId="65" fillId="4" borderId="7" xfId="1" applyFont="1" applyFill="1" applyBorder="1" applyAlignment="1">
      <alignment horizontal="left" vertical="center" wrapText="1"/>
    </xf>
    <xf numFmtId="0" fontId="66" fillId="4" borderId="76" xfId="1" quotePrefix="1" applyFont="1" applyFill="1" applyBorder="1" applyAlignment="1">
      <alignment horizontal="left" vertical="center" wrapText="1"/>
    </xf>
    <xf numFmtId="0" fontId="61" fillId="4" borderId="76" xfId="1" applyFont="1" applyFill="1" applyBorder="1" applyAlignment="1">
      <alignment horizontal="center" vertical="center" wrapText="1"/>
    </xf>
    <xf numFmtId="0" fontId="65" fillId="4" borderId="7" xfId="1" applyFont="1" applyFill="1" applyBorder="1" applyAlignment="1">
      <alignment horizontal="center" vertical="center" wrapText="1"/>
    </xf>
    <xf numFmtId="0" fontId="61" fillId="0" borderId="71" xfId="1" quotePrefix="1" applyFont="1" applyFill="1" applyBorder="1" applyAlignment="1">
      <alignment horizontal="left" vertical="center" wrapText="1"/>
    </xf>
    <xf numFmtId="49" fontId="61" fillId="4" borderId="82" xfId="1" quotePrefix="1" applyNumberFormat="1" applyFont="1" applyFill="1" applyBorder="1" applyAlignment="1">
      <alignment horizontal="center" vertical="center" wrapText="1"/>
    </xf>
    <xf numFmtId="0" fontId="61" fillId="0" borderId="77" xfId="18" applyFont="1" applyFill="1" applyBorder="1" applyAlignment="1">
      <alignment horizontal="left" vertical="center" wrapText="1"/>
    </xf>
    <xf numFmtId="0" fontId="62" fillId="4" borderId="16" xfId="1" applyFont="1" applyFill="1" applyBorder="1" applyAlignment="1">
      <alignment horizontal="center" vertical="center" wrapText="1"/>
    </xf>
    <xf numFmtId="0" fontId="60" fillId="10" borderId="3" xfId="1" applyFont="1" applyFill="1" applyBorder="1" applyAlignment="1">
      <alignment horizontal="center" vertical="center" wrapText="1"/>
    </xf>
    <xf numFmtId="0" fontId="60" fillId="10" borderId="1" xfId="1" applyFont="1" applyFill="1" applyBorder="1" applyAlignment="1">
      <alignment vertical="center" wrapText="1"/>
    </xf>
    <xf numFmtId="0" fontId="68" fillId="4" borderId="30" xfId="1" applyFont="1" applyFill="1" applyBorder="1" applyAlignment="1">
      <alignment horizontal="center" vertical="center" wrapText="1"/>
    </xf>
    <xf numFmtId="0" fontId="66" fillId="0" borderId="30" xfId="1" applyFont="1" applyFill="1" applyBorder="1" applyAlignment="1">
      <alignment vertical="center" wrapText="1"/>
    </xf>
    <xf numFmtId="49" fontId="66" fillId="4" borderId="82" xfId="1" quotePrefix="1" applyNumberFormat="1" applyFont="1" applyFill="1" applyBorder="1" applyAlignment="1">
      <alignment horizontal="center" vertical="center" wrapText="1"/>
    </xf>
    <xf numFmtId="0" fontId="68" fillId="4" borderId="7" xfId="1" applyFont="1" applyFill="1" applyBorder="1" applyAlignment="1">
      <alignment horizontal="center" vertical="center" wrapText="1"/>
    </xf>
    <xf numFmtId="49" fontId="66" fillId="4" borderId="7" xfId="1" applyNumberFormat="1" applyFont="1" applyFill="1" applyBorder="1" applyAlignment="1">
      <alignment horizontal="center" vertical="center" wrapText="1"/>
    </xf>
    <xf numFmtId="0" fontId="61" fillId="0" borderId="75" xfId="1" applyFont="1" applyFill="1" applyBorder="1" applyAlignment="1">
      <alignment vertical="center" wrapText="1"/>
    </xf>
    <xf numFmtId="49" fontId="66" fillId="4" borderId="6" xfId="1" applyNumberFormat="1" applyFont="1" applyFill="1" applyBorder="1" applyAlignment="1">
      <alignment vertical="center" wrapText="1"/>
    </xf>
    <xf numFmtId="0" fontId="63" fillId="4" borderId="2" xfId="1" applyFont="1" applyFill="1" applyBorder="1" applyAlignment="1">
      <alignment vertical="center" wrapText="1"/>
    </xf>
    <xf numFmtId="0" fontId="61" fillId="0" borderId="69" xfId="1" applyFont="1" applyFill="1" applyBorder="1" applyAlignment="1">
      <alignment vertical="center" wrapText="1"/>
    </xf>
    <xf numFmtId="49" fontId="61" fillId="4" borderId="74" xfId="1" applyNumberFormat="1" applyFont="1" applyFill="1" applyBorder="1" applyAlignment="1">
      <alignment horizontal="center" vertical="center" wrapText="1"/>
    </xf>
    <xf numFmtId="3" fontId="5" fillId="0" borderId="9" xfId="14" applyNumberFormat="1" applyFont="1" applyFill="1" applyBorder="1" applyAlignment="1">
      <alignment horizontal="right" vertical="center"/>
    </xf>
    <xf numFmtId="10" fontId="59" fillId="0" borderId="9" xfId="14" applyNumberFormat="1" applyFont="1" applyFill="1" applyBorder="1" applyAlignment="1">
      <alignment horizontal="right" vertical="center"/>
    </xf>
    <xf numFmtId="3" fontId="59" fillId="0" borderId="9" xfId="17" applyNumberFormat="1" applyFont="1" applyFill="1" applyBorder="1" applyAlignment="1">
      <alignment horizontal="right" vertical="center"/>
    </xf>
    <xf numFmtId="10" fontId="5" fillId="0" borderId="69" xfId="14" applyNumberFormat="1" applyFont="1" applyFill="1" applyBorder="1" applyAlignment="1">
      <alignment horizontal="right" vertical="center"/>
    </xf>
    <xf numFmtId="0" fontId="66" fillId="4" borderId="77" xfId="1" applyFont="1" applyFill="1" applyBorder="1" applyAlignment="1">
      <alignment horizontal="left" vertical="center" wrapText="1"/>
    </xf>
    <xf numFmtId="49" fontId="66" fillId="4" borderId="71" xfId="1" applyNumberFormat="1" applyFont="1" applyFill="1" applyBorder="1" applyAlignment="1">
      <alignment horizontal="center" vertical="center" wrapText="1"/>
    </xf>
    <xf numFmtId="49" fontId="66" fillId="4" borderId="30" xfId="1" applyNumberFormat="1" applyFont="1" applyFill="1" applyBorder="1" applyAlignment="1">
      <alignment horizontal="center" vertical="center" wrapText="1"/>
    </xf>
    <xf numFmtId="0" fontId="66" fillId="0" borderId="12" xfId="1" applyFont="1" applyFill="1" applyBorder="1" applyAlignment="1">
      <alignment vertical="center" wrapText="1"/>
    </xf>
    <xf numFmtId="49" fontId="66" fillId="4" borderId="8" xfId="1" applyNumberFormat="1" applyFont="1" applyFill="1" applyBorder="1" applyAlignment="1">
      <alignment horizontal="center" vertical="center" wrapText="1"/>
    </xf>
    <xf numFmtId="0" fontId="68" fillId="10" borderId="1" xfId="1" applyFont="1" applyFill="1" applyBorder="1" applyAlignment="1">
      <alignment horizontal="center" vertical="center" wrapText="1"/>
    </xf>
    <xf numFmtId="0" fontId="65" fillId="4" borderId="71" xfId="1" applyFont="1" applyFill="1" applyBorder="1" applyAlignment="1">
      <alignment horizontal="left" vertical="center" wrapText="1"/>
    </xf>
    <xf numFmtId="0" fontId="66" fillId="4" borderId="0" xfId="1" applyFont="1" applyFill="1" applyBorder="1" applyAlignment="1">
      <alignment horizontal="left" vertical="center" wrapText="1"/>
    </xf>
    <xf numFmtId="10" fontId="57" fillId="10" borderId="1" xfId="14" applyNumberFormat="1" applyFont="1" applyFill="1" applyBorder="1" applyAlignment="1">
      <alignment horizontal="right" vertical="center"/>
    </xf>
    <xf numFmtId="0" fontId="61" fillId="4" borderId="82" xfId="1" quotePrefix="1" applyFont="1" applyFill="1" applyBorder="1" applyAlignment="1">
      <alignment horizontal="center" vertical="center" wrapText="1"/>
    </xf>
    <xf numFmtId="10" fontId="33" fillId="4" borderId="71" xfId="14" applyNumberFormat="1" applyFont="1" applyFill="1" applyBorder="1" applyAlignment="1">
      <alignment horizontal="right" vertical="center"/>
    </xf>
    <xf numFmtId="3" fontId="55" fillId="11" borderId="17" xfId="14" applyNumberFormat="1" applyFont="1" applyFill="1" applyBorder="1" applyAlignment="1">
      <alignment horizontal="right" vertical="center"/>
    </xf>
    <xf numFmtId="49" fontId="61" fillId="0" borderId="79" xfId="1" applyNumberFormat="1" applyFont="1" applyFill="1" applyBorder="1" applyAlignment="1">
      <alignment horizontal="center" vertical="center" wrapText="1"/>
    </xf>
    <xf numFmtId="3" fontId="58" fillId="0" borderId="71" xfId="14" applyNumberFormat="1" applyFont="1" applyFill="1" applyBorder="1" applyAlignment="1">
      <alignment horizontal="right" vertical="center"/>
    </xf>
    <xf numFmtId="3" fontId="55" fillId="0" borderId="20" xfId="14" applyNumberFormat="1" applyFont="1" applyFill="1" applyBorder="1" applyAlignment="1">
      <alignment horizontal="right" vertical="center"/>
    </xf>
    <xf numFmtId="0" fontId="61" fillId="4" borderId="20" xfId="1" applyFont="1" applyFill="1" applyBorder="1" applyAlignment="1">
      <alignment horizontal="left" vertical="center" wrapText="1"/>
    </xf>
    <xf numFmtId="3" fontId="58" fillId="0" borderId="7" xfId="14" applyNumberFormat="1" applyFont="1" applyFill="1" applyBorder="1" applyAlignment="1">
      <alignment horizontal="right" vertical="center"/>
    </xf>
    <xf numFmtId="3" fontId="55" fillId="0" borderId="0" xfId="14" applyNumberFormat="1" applyFont="1" applyFill="1" applyBorder="1" applyAlignment="1">
      <alignment horizontal="right" vertical="center"/>
    </xf>
    <xf numFmtId="3" fontId="59" fillId="0" borderId="30" xfId="14" applyNumberFormat="1" applyFont="1" applyFill="1" applyBorder="1" applyAlignment="1">
      <alignment horizontal="right" vertical="center"/>
    </xf>
    <xf numFmtId="0" fontId="61" fillId="0" borderId="16" xfId="1" applyFont="1" applyFill="1" applyBorder="1" applyAlignment="1">
      <alignment vertical="center" wrapText="1"/>
    </xf>
    <xf numFmtId="0" fontId="61" fillId="4" borderId="67" xfId="1" applyFont="1" applyFill="1" applyBorder="1" applyAlignment="1">
      <alignment vertical="center" wrapText="1"/>
    </xf>
    <xf numFmtId="49" fontId="61" fillId="4" borderId="29" xfId="1" applyNumberFormat="1" applyFont="1" applyFill="1" applyBorder="1" applyAlignment="1">
      <alignment horizontal="center" vertical="center" wrapText="1"/>
    </xf>
    <xf numFmtId="3" fontId="33" fillId="0" borderId="65" xfId="14" applyNumberFormat="1" applyFont="1" applyFill="1" applyBorder="1" applyAlignment="1">
      <alignment horizontal="right" vertical="center"/>
    </xf>
    <xf numFmtId="3" fontId="58" fillId="11" borderId="7" xfId="14" applyNumberFormat="1" applyFont="1" applyFill="1" applyBorder="1" applyAlignment="1">
      <alignment horizontal="right" vertical="center"/>
    </xf>
    <xf numFmtId="0" fontId="63" fillId="4" borderId="65" xfId="1" applyFont="1" applyFill="1" applyBorder="1" applyAlignment="1">
      <alignment horizontal="left" vertical="center" wrapText="1"/>
    </xf>
    <xf numFmtId="0" fontId="63" fillId="4" borderId="7" xfId="1" applyFont="1" applyFill="1" applyBorder="1" applyAlignment="1">
      <alignment horizontal="center" vertical="center" wrapText="1"/>
    </xf>
    <xf numFmtId="3" fontId="58" fillId="11" borderId="30" xfId="14" applyNumberFormat="1" applyFont="1" applyFill="1" applyBorder="1" applyAlignment="1">
      <alignment horizontal="right" vertical="center"/>
    </xf>
    <xf numFmtId="3" fontId="58" fillId="11" borderId="30" xfId="17" applyNumberFormat="1" applyFont="1" applyFill="1" applyBorder="1" applyAlignment="1">
      <alignment horizontal="right" vertical="center"/>
    </xf>
    <xf numFmtId="0" fontId="61" fillId="4" borderId="12" xfId="1" applyFont="1" applyFill="1" applyBorder="1" applyAlignment="1">
      <alignment horizontal="left" vertical="center" wrapText="1"/>
    </xf>
    <xf numFmtId="0" fontId="61" fillId="4" borderId="65" xfId="1" applyFont="1" applyFill="1" applyBorder="1" applyAlignment="1">
      <alignment horizontal="left" vertical="center" wrapText="1"/>
    </xf>
    <xf numFmtId="0" fontId="61" fillId="4" borderId="65" xfId="1" applyFont="1" applyFill="1" applyBorder="1" applyAlignment="1">
      <alignment horizontal="center" vertical="center" wrapText="1"/>
    </xf>
    <xf numFmtId="3" fontId="59" fillId="4" borderId="67" xfId="14" applyNumberFormat="1" applyFont="1" applyFill="1" applyBorder="1" applyAlignment="1">
      <alignment horizontal="right" vertical="center"/>
    </xf>
    <xf numFmtId="3" fontId="33" fillId="4" borderId="67" xfId="14" applyNumberFormat="1" applyFont="1" applyFill="1" applyBorder="1" applyAlignment="1">
      <alignment horizontal="right" vertical="center"/>
    </xf>
    <xf numFmtId="0" fontId="61" fillId="4" borderId="6" xfId="1" applyFont="1" applyFill="1" applyBorder="1" applyAlignment="1">
      <alignment horizontal="left" vertical="center" wrapText="1"/>
    </xf>
    <xf numFmtId="49" fontId="61" fillId="4" borderId="6" xfId="1" applyNumberFormat="1" applyFont="1" applyFill="1" applyBorder="1" applyAlignment="1">
      <alignment horizontal="center" vertical="center" wrapText="1"/>
    </xf>
    <xf numFmtId="0" fontId="63" fillId="4" borderId="71" xfId="1" applyFont="1" applyFill="1" applyBorder="1" applyAlignment="1">
      <alignment horizontal="center" vertical="center" wrapText="1"/>
    </xf>
    <xf numFmtId="0" fontId="63" fillId="4" borderId="73" xfId="1" applyFont="1" applyFill="1" applyBorder="1" applyAlignment="1">
      <alignment horizontal="center" vertical="center" wrapText="1"/>
    </xf>
    <xf numFmtId="0" fontId="61" fillId="4" borderId="10" xfId="1" applyFont="1" applyFill="1" applyBorder="1" applyAlignment="1">
      <alignment vertical="center" wrapText="1"/>
    </xf>
    <xf numFmtId="49" fontId="61" fillId="4" borderId="75" xfId="1" applyNumberFormat="1" applyFont="1" applyFill="1" applyBorder="1" applyAlignment="1">
      <alignment horizontal="center" vertical="center" wrapText="1"/>
    </xf>
    <xf numFmtId="0" fontId="60" fillId="4" borderId="76" xfId="1" applyFont="1" applyFill="1" applyBorder="1" applyAlignment="1">
      <alignment vertical="center" wrapText="1"/>
    </xf>
    <xf numFmtId="0" fontId="61" fillId="0" borderId="72" xfId="1" applyFont="1" applyFill="1" applyBorder="1" applyAlignment="1">
      <alignment vertical="center" wrapText="1"/>
    </xf>
    <xf numFmtId="0" fontId="61" fillId="4" borderId="20" xfId="1" applyFont="1" applyFill="1" applyBorder="1" applyAlignment="1">
      <alignment horizontal="center" vertical="center" wrapText="1"/>
    </xf>
    <xf numFmtId="0" fontId="60" fillId="4" borderId="75" xfId="1" applyFont="1" applyFill="1" applyBorder="1" applyAlignment="1">
      <alignment vertical="center" wrapText="1"/>
    </xf>
    <xf numFmtId="0" fontId="63" fillId="11" borderId="67" xfId="1" applyFont="1" applyFill="1" applyBorder="1" applyAlignment="1">
      <alignment horizontal="left" vertical="center" wrapText="1"/>
    </xf>
    <xf numFmtId="3" fontId="58" fillId="11" borderId="12" xfId="14" applyNumberFormat="1" applyFont="1" applyFill="1" applyBorder="1" applyAlignment="1">
      <alignment horizontal="right" vertical="center"/>
    </xf>
    <xf numFmtId="0" fontId="63" fillId="4" borderId="75" xfId="1" applyFont="1" applyFill="1" applyBorder="1" applyAlignment="1">
      <alignment horizontal="left" vertical="center" wrapText="1"/>
    </xf>
    <xf numFmtId="0" fontId="61" fillId="0" borderId="6" xfId="1" applyFont="1" applyFill="1" applyBorder="1" applyAlignment="1">
      <alignment vertical="center" wrapText="1"/>
    </xf>
    <xf numFmtId="0" fontId="61" fillId="4" borderId="6" xfId="1" applyFont="1" applyFill="1" applyBorder="1" applyAlignment="1">
      <alignment horizontal="center" vertical="center" wrapText="1"/>
    </xf>
    <xf numFmtId="3" fontId="58" fillId="4" borderId="10" xfId="14" applyNumberFormat="1" applyFont="1" applyFill="1" applyBorder="1" applyAlignment="1">
      <alignment horizontal="right" vertical="center"/>
    </xf>
    <xf numFmtId="3" fontId="58" fillId="4" borderId="6" xfId="14" applyNumberFormat="1" applyFont="1" applyFill="1" applyBorder="1" applyAlignment="1">
      <alignment horizontal="right" vertical="center"/>
    </xf>
    <xf numFmtId="10" fontId="58" fillId="4" borderId="6" xfId="14" applyNumberFormat="1" applyFont="1" applyFill="1" applyBorder="1" applyAlignment="1">
      <alignment horizontal="right" vertical="center"/>
    </xf>
    <xf numFmtId="3" fontId="58" fillId="4" borderId="6" xfId="17" applyNumberFormat="1" applyFont="1" applyFill="1" applyBorder="1" applyAlignment="1">
      <alignment horizontal="right" vertical="center"/>
    </xf>
    <xf numFmtId="10" fontId="55" fillId="4" borderId="67" xfId="14" applyNumberFormat="1" applyFont="1" applyFill="1" applyBorder="1" applyAlignment="1">
      <alignment horizontal="right" vertical="center"/>
    </xf>
    <xf numFmtId="0" fontId="62" fillId="10" borderId="10" xfId="1" applyFont="1" applyFill="1" applyBorder="1" applyAlignment="1">
      <alignment vertical="center" wrapText="1"/>
    </xf>
    <xf numFmtId="0" fontId="60" fillId="0" borderId="7" xfId="1" applyFont="1" applyFill="1" applyBorder="1" applyAlignment="1">
      <alignment vertical="center" wrapText="1"/>
    </xf>
    <xf numFmtId="3" fontId="55" fillId="11" borderId="8" xfId="14" applyNumberFormat="1" applyFont="1" applyFill="1" applyBorder="1" applyAlignment="1">
      <alignment horizontal="right" vertical="center"/>
    </xf>
    <xf numFmtId="3" fontId="58" fillId="11" borderId="8" xfId="17" applyNumberFormat="1" applyFont="1" applyFill="1" applyBorder="1" applyAlignment="1">
      <alignment horizontal="right" vertical="center"/>
    </xf>
    <xf numFmtId="0" fontId="67" fillId="0" borderId="7" xfId="1" applyFont="1" applyFill="1" applyBorder="1" applyAlignment="1">
      <alignment horizontal="center" vertical="center" wrapText="1"/>
    </xf>
    <xf numFmtId="0" fontId="62" fillId="10" borderId="65" xfId="1" applyFont="1" applyFill="1" applyBorder="1" applyAlignment="1">
      <alignment horizontal="center" vertical="center" wrapText="1"/>
    </xf>
    <xf numFmtId="0" fontId="62" fillId="10" borderId="65" xfId="1" applyFont="1" applyFill="1" applyBorder="1" applyAlignment="1">
      <alignment vertical="center" wrapText="1"/>
    </xf>
    <xf numFmtId="0" fontId="62" fillId="10" borderId="29" xfId="1" applyFont="1" applyFill="1" applyBorder="1" applyAlignment="1">
      <alignment vertical="center" wrapText="1"/>
    </xf>
    <xf numFmtId="3" fontId="56" fillId="10" borderId="65" xfId="14" applyNumberFormat="1" applyFont="1" applyFill="1" applyBorder="1" applyAlignment="1">
      <alignment horizontal="right" vertical="center"/>
    </xf>
    <xf numFmtId="10" fontId="56" fillId="10" borderId="65" xfId="14" applyNumberFormat="1" applyFont="1" applyFill="1" applyBorder="1" applyAlignment="1">
      <alignment horizontal="right" vertical="center"/>
    </xf>
    <xf numFmtId="10" fontId="57" fillId="10" borderId="67" xfId="14" applyNumberFormat="1" applyFont="1" applyFill="1" applyBorder="1" applyAlignment="1">
      <alignment horizontal="right" vertical="center"/>
    </xf>
    <xf numFmtId="0" fontId="61" fillId="0" borderId="77" xfId="1" applyFont="1" applyFill="1" applyBorder="1" applyAlignment="1">
      <alignment vertical="center" wrapText="1"/>
    </xf>
    <xf numFmtId="49" fontId="61" fillId="4" borderId="80" xfId="1" applyNumberFormat="1" applyFont="1" applyFill="1" applyBorder="1" applyAlignment="1">
      <alignment horizontal="center" vertical="center" wrapText="1"/>
    </xf>
    <xf numFmtId="0" fontId="67" fillId="4" borderId="6" xfId="1" applyFont="1" applyFill="1" applyBorder="1" applyAlignment="1">
      <alignment horizontal="center" vertical="center" wrapText="1"/>
    </xf>
    <xf numFmtId="3" fontId="58" fillId="11" borderId="6" xfId="14" applyNumberFormat="1" applyFont="1" applyFill="1" applyBorder="1" applyAlignment="1">
      <alignment horizontal="right" vertical="center"/>
    </xf>
    <xf numFmtId="0" fontId="66" fillId="3" borderId="73" xfId="1" applyFont="1" applyFill="1" applyBorder="1" applyAlignment="1">
      <alignment horizontal="center" vertical="center" wrapText="1"/>
    </xf>
    <xf numFmtId="0" fontId="67" fillId="3" borderId="6" xfId="1" applyFont="1" applyFill="1" applyBorder="1" applyAlignment="1">
      <alignment horizontal="left" vertical="center" wrapText="1"/>
    </xf>
    <xf numFmtId="0" fontId="60" fillId="3" borderId="75" xfId="1" applyFont="1" applyFill="1" applyBorder="1" applyAlignment="1">
      <alignment horizontal="left" vertical="center" wrapText="1"/>
    </xf>
    <xf numFmtId="3" fontId="32" fillId="3" borderId="6" xfId="14" applyNumberFormat="1" applyFont="1" applyFill="1" applyBorder="1" applyAlignment="1">
      <alignment horizontal="right" vertical="center"/>
    </xf>
    <xf numFmtId="10" fontId="32" fillId="3" borderId="10" xfId="14" applyNumberFormat="1" applyFont="1" applyFill="1" applyBorder="1" applyAlignment="1">
      <alignment horizontal="right" vertical="center"/>
    </xf>
    <xf numFmtId="0" fontId="61" fillId="0" borderId="72" xfId="1" applyFont="1" applyFill="1" applyBorder="1" applyAlignment="1">
      <alignment horizontal="left" vertical="center" wrapText="1"/>
    </xf>
    <xf numFmtId="0" fontId="61" fillId="4" borderId="72" xfId="1" applyFont="1" applyFill="1" applyBorder="1" applyAlignment="1">
      <alignment horizontal="center" vertical="center" wrapText="1"/>
    </xf>
    <xf numFmtId="3" fontId="33" fillId="11" borderId="7" xfId="14" applyNumberFormat="1" applyFont="1" applyFill="1" applyBorder="1" applyAlignment="1">
      <alignment horizontal="right" vertical="center"/>
    </xf>
    <xf numFmtId="10" fontId="59" fillId="11" borderId="7" xfId="14" applyNumberFormat="1" applyFont="1" applyFill="1" applyBorder="1" applyAlignment="1">
      <alignment horizontal="right" vertical="center"/>
    </xf>
    <xf numFmtId="10" fontId="33" fillId="11" borderId="0" xfId="14" applyNumberFormat="1" applyFont="1" applyFill="1" applyBorder="1" applyAlignment="1">
      <alignment horizontal="right" vertical="center"/>
    </xf>
    <xf numFmtId="0" fontId="60" fillId="2" borderId="1" xfId="1" applyFont="1" applyFill="1" applyBorder="1" applyAlignment="1">
      <alignment horizontal="center" vertical="center" wrapText="1"/>
    </xf>
    <xf numFmtId="0" fontId="63" fillId="2" borderId="1" xfId="1" applyFont="1" applyFill="1" applyBorder="1" applyAlignment="1">
      <alignment horizontal="left" vertical="center" wrapText="1"/>
    </xf>
    <xf numFmtId="0" fontId="60" fillId="2" borderId="1" xfId="1" applyFont="1" applyFill="1" applyBorder="1" applyAlignment="1">
      <alignment horizontal="left" vertical="center" wrapText="1"/>
    </xf>
    <xf numFmtId="0" fontId="63" fillId="2" borderId="3" xfId="1" applyFont="1" applyFill="1" applyBorder="1" applyAlignment="1">
      <alignment horizontal="left" vertical="center" wrapText="1"/>
    </xf>
    <xf numFmtId="3" fontId="57" fillId="2" borderId="1" xfId="14" applyNumberFormat="1" applyFont="1" applyFill="1" applyBorder="1" applyAlignment="1">
      <alignment horizontal="right" vertical="center"/>
    </xf>
    <xf numFmtId="10" fontId="56" fillId="2" borderId="1" xfId="14" applyNumberFormat="1" applyFont="1" applyFill="1" applyBorder="1" applyAlignment="1">
      <alignment horizontal="right" vertical="center"/>
    </xf>
    <xf numFmtId="10" fontId="57" fillId="2" borderId="5" xfId="14" applyNumberFormat="1" applyFont="1" applyFill="1" applyBorder="1" applyAlignment="1">
      <alignment horizontal="right" vertical="center"/>
    </xf>
    <xf numFmtId="0" fontId="12" fillId="0" borderId="7" xfId="14" applyFont="1" applyBorder="1" applyAlignment="1">
      <alignment horizontal="center" vertical="center"/>
    </xf>
    <xf numFmtId="0" fontId="12" fillId="0" borderId="76" xfId="14" applyFont="1" applyBorder="1" applyAlignment="1">
      <alignment horizontal="center" vertical="center"/>
    </xf>
    <xf numFmtId="10" fontId="33" fillId="4" borderId="30" xfId="14" applyNumberFormat="1" applyFont="1" applyFill="1" applyBorder="1" applyAlignment="1">
      <alignment horizontal="right" vertical="center"/>
    </xf>
    <xf numFmtId="10" fontId="33" fillId="0" borderId="30" xfId="14" applyNumberFormat="1" applyFont="1" applyFill="1" applyBorder="1" applyAlignment="1">
      <alignment horizontal="right" vertical="center"/>
    </xf>
    <xf numFmtId="0" fontId="0" fillId="0" borderId="0" xfId="14" applyFont="1"/>
    <xf numFmtId="0" fontId="76" fillId="8" borderId="1" xfId="1" applyFont="1" applyFill="1" applyBorder="1" applyAlignment="1">
      <alignment horizontal="center" vertical="center" wrapText="1"/>
    </xf>
    <xf numFmtId="3" fontId="77" fillId="8" borderId="4" xfId="14" applyNumberFormat="1" applyFont="1" applyFill="1" applyBorder="1" applyAlignment="1">
      <alignment horizontal="right" vertical="center"/>
    </xf>
    <xf numFmtId="3" fontId="77" fillId="8" borderId="1" xfId="14" applyNumberFormat="1" applyFont="1" applyFill="1" applyBorder="1" applyAlignment="1">
      <alignment horizontal="right" vertical="center"/>
    </xf>
    <xf numFmtId="3" fontId="77" fillId="8" borderId="3" xfId="14" applyNumberFormat="1" applyFont="1" applyFill="1" applyBorder="1" applyAlignment="1">
      <alignment horizontal="right" vertical="center"/>
    </xf>
    <xf numFmtId="10" fontId="77" fillId="8" borderId="1" xfId="14" applyNumberFormat="1" applyFont="1" applyFill="1" applyBorder="1" applyAlignment="1">
      <alignment horizontal="right" vertical="center"/>
    </xf>
    <xf numFmtId="3" fontId="77" fillId="8" borderId="5" xfId="14" applyNumberFormat="1" applyFont="1" applyFill="1" applyBorder="1" applyAlignment="1">
      <alignment horizontal="right" vertical="center"/>
    </xf>
    <xf numFmtId="10" fontId="78" fillId="8" borderId="5" xfId="14" applyNumberFormat="1" applyFont="1" applyFill="1" applyBorder="1" applyAlignment="1">
      <alignment horizontal="right" vertical="center"/>
    </xf>
    <xf numFmtId="10" fontId="79" fillId="8" borderId="1" xfId="17" applyNumberFormat="1" applyFont="1" applyFill="1" applyBorder="1" applyAlignment="1">
      <alignment horizontal="right" vertical="center"/>
    </xf>
    <xf numFmtId="0" fontId="80" fillId="11" borderId="18" xfId="1" applyFont="1" applyFill="1" applyBorder="1" applyAlignment="1">
      <alignment horizontal="left" vertical="center"/>
    </xf>
    <xf numFmtId="0" fontId="80" fillId="11" borderId="17" xfId="1" applyFont="1" applyFill="1" applyBorder="1" applyAlignment="1">
      <alignment horizontal="left" vertical="center"/>
    </xf>
    <xf numFmtId="0" fontId="81" fillId="11" borderId="2" xfId="1" applyFont="1" applyFill="1" applyBorder="1" applyAlignment="1">
      <alignment vertical="center"/>
    </xf>
    <xf numFmtId="3" fontId="77" fillId="11" borderId="17" xfId="14" applyNumberFormat="1" applyFont="1" applyFill="1" applyBorder="1" applyAlignment="1">
      <alignment horizontal="right" vertical="center"/>
    </xf>
    <xf numFmtId="3" fontId="77" fillId="11" borderId="2" xfId="14" applyNumberFormat="1" applyFont="1" applyFill="1" applyBorder="1" applyAlignment="1">
      <alignment horizontal="right" vertical="center"/>
    </xf>
    <xf numFmtId="10" fontId="77" fillId="11" borderId="2" xfId="14" applyNumberFormat="1" applyFont="1" applyFill="1" applyBorder="1" applyAlignment="1">
      <alignment horizontal="right" vertical="center"/>
    </xf>
    <xf numFmtId="10" fontId="77" fillId="11" borderId="17" xfId="14" applyNumberFormat="1" applyFont="1" applyFill="1" applyBorder="1" applyAlignment="1">
      <alignment horizontal="right" vertical="center"/>
    </xf>
    <xf numFmtId="0" fontId="82" fillId="11" borderId="58" xfId="1" applyFont="1" applyFill="1" applyBorder="1" applyAlignment="1">
      <alignment horizontal="left" vertical="center"/>
    </xf>
    <xf numFmtId="0" fontId="82" fillId="11" borderId="27" xfId="1" applyFont="1" applyFill="1" applyBorder="1" applyAlignment="1">
      <alignment horizontal="left" vertical="center"/>
    </xf>
    <xf numFmtId="0" fontId="82" fillId="11" borderId="20" xfId="1" applyFont="1" applyFill="1" applyBorder="1" applyAlignment="1">
      <alignment horizontal="left" vertical="center"/>
    </xf>
    <xf numFmtId="0" fontId="77" fillId="11" borderId="71" xfId="1" applyFont="1" applyFill="1" applyBorder="1" applyAlignment="1">
      <alignment vertical="center"/>
    </xf>
    <xf numFmtId="3" fontId="82" fillId="11" borderId="20" xfId="14" applyNumberFormat="1" applyFont="1" applyFill="1" applyBorder="1" applyAlignment="1">
      <alignment horizontal="right" vertical="center"/>
    </xf>
    <xf numFmtId="4" fontId="82" fillId="11" borderId="71" xfId="14" applyNumberFormat="1" applyFont="1" applyFill="1" applyBorder="1" applyAlignment="1">
      <alignment horizontal="right" vertical="center"/>
    </xf>
    <xf numFmtId="10" fontId="82" fillId="11" borderId="71" xfId="14" applyNumberFormat="1" applyFont="1" applyFill="1" applyBorder="1" applyAlignment="1">
      <alignment horizontal="right" vertical="center"/>
    </xf>
    <xf numFmtId="3" fontId="82" fillId="11" borderId="71" xfId="14" applyNumberFormat="1" applyFont="1" applyFill="1" applyBorder="1" applyAlignment="1">
      <alignment horizontal="right" vertical="center"/>
    </xf>
    <xf numFmtId="10" fontId="82" fillId="11" borderId="20" xfId="14" applyNumberFormat="1" applyFont="1" applyFill="1" applyBorder="1" applyAlignment="1">
      <alignment horizontal="right" vertical="center"/>
    </xf>
    <xf numFmtId="10" fontId="83" fillId="11" borderId="71" xfId="17" applyNumberFormat="1" applyFont="1" applyFill="1" applyBorder="1" applyAlignment="1">
      <alignment horizontal="right" vertical="center"/>
    </xf>
    <xf numFmtId="0" fontId="81" fillId="11" borderId="30" xfId="1" applyFont="1" applyFill="1" applyBorder="1" applyAlignment="1">
      <alignment vertical="center"/>
    </xf>
    <xf numFmtId="3" fontId="80" fillId="11" borderId="12" xfId="14" applyNumberFormat="1" applyFont="1" applyFill="1" applyBorder="1" applyAlignment="1">
      <alignment horizontal="right" vertical="center"/>
    </xf>
    <xf numFmtId="3" fontId="80" fillId="11" borderId="30" xfId="14" applyNumberFormat="1" applyFont="1" applyFill="1" applyBorder="1" applyAlignment="1">
      <alignment horizontal="right" vertical="center"/>
    </xf>
    <xf numFmtId="10" fontId="80" fillId="11" borderId="30" xfId="14" applyNumberFormat="1" applyFont="1" applyFill="1" applyBorder="1" applyAlignment="1">
      <alignment horizontal="right" vertical="center"/>
    </xf>
    <xf numFmtId="10" fontId="80" fillId="11" borderId="12" xfId="14" applyNumberFormat="1" applyFont="1" applyFill="1" applyBorder="1" applyAlignment="1">
      <alignment horizontal="right" vertical="center"/>
    </xf>
    <xf numFmtId="0" fontId="82" fillId="11" borderId="28" xfId="1" applyFont="1" applyFill="1" applyBorder="1" applyAlignment="1">
      <alignment horizontal="left" vertical="center"/>
    </xf>
    <xf numFmtId="0" fontId="82" fillId="11" borderId="22" xfId="1" applyFont="1" applyFill="1" applyBorder="1" applyAlignment="1">
      <alignment horizontal="left" vertical="center"/>
    </xf>
    <xf numFmtId="0" fontId="82" fillId="11" borderId="23" xfId="1" applyFont="1" applyFill="1" applyBorder="1" applyAlignment="1">
      <alignment horizontal="left" vertical="center"/>
    </xf>
    <xf numFmtId="0" fontId="77" fillId="11" borderId="65" xfId="1" applyFont="1" applyFill="1" applyBorder="1" applyAlignment="1">
      <alignment vertical="center"/>
    </xf>
    <xf numFmtId="3" fontId="82" fillId="11" borderId="67" xfId="14" applyNumberFormat="1" applyFont="1" applyFill="1" applyBorder="1" applyAlignment="1">
      <alignment horizontal="right" vertical="center"/>
    </xf>
    <xf numFmtId="4" fontId="82" fillId="11" borderId="65" xfId="14" applyNumberFormat="1" applyFont="1" applyFill="1" applyBorder="1" applyAlignment="1">
      <alignment horizontal="right" vertical="center"/>
    </xf>
    <xf numFmtId="10" fontId="82" fillId="11" borderId="65" xfId="14" applyNumberFormat="1" applyFont="1" applyFill="1" applyBorder="1" applyAlignment="1">
      <alignment horizontal="right" vertical="center"/>
    </xf>
    <xf numFmtId="3" fontId="82" fillId="11" borderId="65" xfId="14" applyNumberFormat="1" applyFont="1" applyFill="1" applyBorder="1" applyAlignment="1">
      <alignment horizontal="right" vertical="center"/>
    </xf>
    <xf numFmtId="10" fontId="82" fillId="11" borderId="67" xfId="14" applyNumberFormat="1" applyFont="1" applyFill="1" applyBorder="1" applyAlignment="1">
      <alignment horizontal="right" vertical="center"/>
    </xf>
    <xf numFmtId="10" fontId="83" fillId="11" borderId="65" xfId="17" applyNumberFormat="1" applyFont="1" applyFill="1" applyBorder="1" applyAlignment="1">
      <alignment horizontal="right" vertical="center"/>
    </xf>
    <xf numFmtId="3" fontId="33" fillId="0" borderId="0" xfId="14" applyNumberFormat="1" applyFont="1" applyBorder="1" applyAlignment="1">
      <alignment horizontal="right" vertical="center"/>
    </xf>
    <xf numFmtId="0" fontId="81" fillId="11" borderId="7" xfId="1" applyFont="1" applyFill="1" applyBorder="1" applyAlignment="1">
      <alignment vertical="center"/>
    </xf>
    <xf numFmtId="3" fontId="80" fillId="11" borderId="0" xfId="14" applyNumberFormat="1" applyFont="1" applyFill="1" applyBorder="1" applyAlignment="1">
      <alignment horizontal="right" vertical="center"/>
    </xf>
    <xf numFmtId="3" fontId="80" fillId="11" borderId="7" xfId="14" applyNumberFormat="1" applyFont="1" applyFill="1" applyBorder="1" applyAlignment="1">
      <alignment horizontal="right" vertical="center"/>
    </xf>
    <xf numFmtId="10" fontId="80" fillId="11" borderId="8" xfId="14" applyNumberFormat="1" applyFont="1" applyFill="1" applyBorder="1" applyAlignment="1">
      <alignment horizontal="right" vertical="center"/>
    </xf>
    <xf numFmtId="3" fontId="80" fillId="11" borderId="80" xfId="14" applyNumberFormat="1" applyFont="1" applyFill="1" applyBorder="1" applyAlignment="1">
      <alignment horizontal="right" vertical="center"/>
    </xf>
    <xf numFmtId="3" fontId="80" fillId="11" borderId="8" xfId="14" applyNumberFormat="1" applyFont="1" applyFill="1" applyBorder="1" applyAlignment="1">
      <alignment horizontal="right" vertical="center"/>
    </xf>
    <xf numFmtId="10" fontId="80" fillId="11" borderId="80" xfId="14" applyNumberFormat="1" applyFont="1" applyFill="1" applyBorder="1" applyAlignment="1">
      <alignment horizontal="right" vertical="center"/>
    </xf>
    <xf numFmtId="0" fontId="81" fillId="11" borderId="65" xfId="1" applyFont="1" applyFill="1" applyBorder="1" applyAlignment="1">
      <alignment vertical="center"/>
    </xf>
    <xf numFmtId="3" fontId="80" fillId="11" borderId="67" xfId="14" applyNumberFormat="1" applyFont="1" applyFill="1" applyBorder="1" applyAlignment="1">
      <alignment horizontal="right" vertical="center"/>
    </xf>
    <xf numFmtId="3" fontId="80" fillId="11" borderId="65" xfId="14" applyNumberFormat="1" applyFont="1" applyFill="1" applyBorder="1" applyAlignment="1">
      <alignment horizontal="right" vertical="center"/>
    </xf>
    <xf numFmtId="10" fontId="80" fillId="11" borderId="65" xfId="14" applyNumberFormat="1" applyFont="1" applyFill="1" applyBorder="1" applyAlignment="1">
      <alignment horizontal="right" vertical="center"/>
    </xf>
    <xf numFmtId="3" fontId="80" fillId="11" borderId="28" xfId="14" applyNumberFormat="1" applyFont="1" applyFill="1" applyBorder="1" applyAlignment="1">
      <alignment horizontal="right" vertical="center"/>
    </xf>
    <xf numFmtId="10" fontId="80" fillId="11" borderId="29" xfId="14" applyNumberFormat="1" applyFont="1" applyFill="1" applyBorder="1" applyAlignment="1">
      <alignment horizontal="right" vertical="center"/>
    </xf>
    <xf numFmtId="10" fontId="51" fillId="11" borderId="65" xfId="17" applyNumberFormat="1" applyFont="1" applyFill="1" applyBorder="1" applyAlignment="1">
      <alignment horizontal="right" vertical="center"/>
    </xf>
    <xf numFmtId="10" fontId="33" fillId="0" borderId="0" xfId="14" applyNumberFormat="1" applyFont="1" applyBorder="1" applyAlignment="1">
      <alignment horizontal="right" vertical="center"/>
    </xf>
    <xf numFmtId="3" fontId="33" fillId="0" borderId="0" xfId="17" applyNumberFormat="1" applyFont="1" applyBorder="1" applyAlignment="1">
      <alignment horizontal="right" vertical="center"/>
    </xf>
    <xf numFmtId="0" fontId="84" fillId="0" borderId="0" xfId="14" applyFont="1"/>
    <xf numFmtId="0" fontId="84" fillId="0" borderId="0" xfId="14" applyFont="1" applyBorder="1"/>
    <xf numFmtId="3" fontId="85" fillId="0" borderId="0" xfId="14" applyNumberFormat="1" applyFont="1" applyBorder="1" applyAlignment="1">
      <alignment horizontal="right" vertical="center"/>
    </xf>
    <xf numFmtId="0" fontId="84" fillId="0" borderId="0" xfId="14" applyFont="1" applyBorder="1" applyAlignment="1">
      <alignment horizontal="right"/>
    </xf>
    <xf numFmtId="4" fontId="33" fillId="0" borderId="0" xfId="14" applyNumberFormat="1" applyFont="1" applyBorder="1" applyAlignment="1">
      <alignment horizontal="right" vertical="center"/>
    </xf>
    <xf numFmtId="3" fontId="44" fillId="0" borderId="0" xfId="14" applyNumberFormat="1" applyFont="1" applyBorder="1"/>
    <xf numFmtId="0" fontId="86" fillId="0" borderId="0" xfId="14" applyFont="1"/>
    <xf numFmtId="3" fontId="57" fillId="0" borderId="0" xfId="14" applyNumberFormat="1" applyFont="1" applyBorder="1" applyAlignment="1">
      <alignment horizontal="right" vertical="center"/>
    </xf>
    <xf numFmtId="4" fontId="57" fillId="0" borderId="0" xfId="14" applyNumberFormat="1" applyFont="1" applyBorder="1" applyAlignment="1">
      <alignment horizontal="right" vertical="center"/>
    </xf>
    <xf numFmtId="10" fontId="57" fillId="0" borderId="0" xfId="14" applyNumberFormat="1" applyFont="1" applyBorder="1" applyAlignment="1">
      <alignment horizontal="right" vertical="center"/>
    </xf>
    <xf numFmtId="3" fontId="57" fillId="0" borderId="0" xfId="17" applyNumberFormat="1" applyFont="1" applyBorder="1" applyAlignment="1">
      <alignment horizontal="right" vertical="center"/>
    </xf>
    <xf numFmtId="0" fontId="88" fillId="0" borderId="0" xfId="10" applyNumberFormat="1" applyFont="1" applyFill="1" applyBorder="1" applyAlignment="1" applyProtection="1">
      <alignment horizontal="left" vertical="center"/>
      <protection locked="0"/>
    </xf>
    <xf numFmtId="0" fontId="88" fillId="0" borderId="0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0" xfId="10" applyNumberFormat="1" applyFont="1" applyFill="1" applyBorder="1" applyAlignment="1" applyProtection="1">
      <alignment horizontal="right" vertical="center"/>
      <protection locked="0"/>
    </xf>
    <xf numFmtId="3" fontId="89" fillId="0" borderId="0" xfId="10" applyNumberFormat="1" applyFont="1" applyFill="1" applyBorder="1" applyAlignment="1" applyProtection="1">
      <alignment horizontal="center" vertical="center"/>
      <protection locked="0"/>
    </xf>
    <xf numFmtId="3" fontId="88" fillId="0" borderId="0" xfId="10" applyNumberFormat="1" applyFont="1" applyFill="1" applyBorder="1" applyAlignment="1" applyProtection="1">
      <alignment horizontal="center" vertical="center"/>
      <protection locked="0"/>
    </xf>
    <xf numFmtId="3" fontId="88" fillId="0" borderId="0" xfId="10" applyNumberFormat="1" applyFont="1" applyFill="1" applyBorder="1" applyAlignment="1" applyProtection="1">
      <alignment horizontal="left" vertical="center"/>
      <protection locked="0"/>
    </xf>
    <xf numFmtId="0" fontId="90" fillId="0" borderId="10" xfId="10" applyNumberFormat="1" applyFont="1" applyFill="1" applyBorder="1" applyAlignment="1" applyProtection="1">
      <alignment vertical="center" wrapText="1"/>
      <protection locked="0"/>
    </xf>
    <xf numFmtId="10" fontId="91" fillId="0" borderId="0" xfId="10" applyNumberFormat="1" applyFont="1" applyFill="1" applyBorder="1" applyAlignment="1" applyProtection="1">
      <alignment horizontal="right" vertical="center"/>
      <protection locked="0"/>
    </xf>
    <xf numFmtId="3" fontId="92" fillId="0" borderId="0" xfId="10" applyNumberFormat="1" applyFont="1" applyFill="1" applyBorder="1" applyAlignment="1" applyProtection="1">
      <alignment horizontal="center" vertical="center"/>
      <protection locked="0"/>
    </xf>
    <xf numFmtId="3" fontId="93" fillId="0" borderId="0" xfId="10" applyNumberFormat="1" applyFont="1" applyFill="1" applyBorder="1" applyAlignment="1" applyProtection="1">
      <alignment horizontal="center" vertical="center"/>
      <protection locked="0"/>
    </xf>
    <xf numFmtId="3" fontId="93" fillId="0" borderId="0" xfId="10" applyNumberFormat="1" applyFont="1" applyFill="1" applyBorder="1" applyAlignment="1" applyProtection="1">
      <alignment horizontal="left" vertical="center"/>
      <protection locked="0"/>
    </xf>
    <xf numFmtId="0" fontId="93" fillId="0" borderId="0" xfId="10" applyNumberFormat="1" applyFont="1" applyFill="1" applyBorder="1" applyAlignment="1" applyProtection="1">
      <alignment horizontal="left" vertical="center"/>
      <protection locked="0"/>
    </xf>
    <xf numFmtId="49" fontId="94" fillId="13" borderId="3" xfId="10" applyNumberFormat="1" applyFont="1" applyFill="1" applyBorder="1" applyAlignment="1" applyProtection="1">
      <alignment horizontal="center" vertical="center" wrapText="1"/>
      <protection locked="0"/>
    </xf>
    <xf numFmtId="49" fontId="94" fillId="13" borderId="1" xfId="10" applyNumberFormat="1" applyFont="1" applyFill="1" applyBorder="1" applyAlignment="1" applyProtection="1">
      <alignment horizontal="center" vertical="center" wrapText="1"/>
      <protection locked="0"/>
    </xf>
    <xf numFmtId="49" fontId="94" fillId="13" borderId="4" xfId="10" applyNumberFormat="1" applyFont="1" applyFill="1" applyBorder="1" applyAlignment="1" applyProtection="1">
      <alignment horizontal="center" vertical="center" wrapText="1"/>
      <protection locked="0"/>
    </xf>
    <xf numFmtId="0" fontId="94" fillId="2" borderId="1" xfId="10" applyNumberFormat="1" applyFont="1" applyFill="1" applyBorder="1" applyAlignment="1" applyProtection="1">
      <alignment horizontal="center" vertical="center" wrapText="1"/>
      <protection locked="0"/>
    </xf>
    <xf numFmtId="10" fontId="94" fillId="2" borderId="1" xfId="10" applyNumberFormat="1" applyFont="1" applyFill="1" applyBorder="1" applyAlignment="1" applyProtection="1">
      <alignment horizontal="center" vertical="center" wrapText="1"/>
      <protection locked="0"/>
    </xf>
    <xf numFmtId="3" fontId="89" fillId="0" borderId="0" xfId="10" applyNumberFormat="1" applyFont="1" applyFill="1" applyBorder="1" applyAlignment="1" applyProtection="1">
      <alignment horizontal="center" vertical="center" wrapText="1"/>
      <protection locked="0"/>
    </xf>
    <xf numFmtId="0" fontId="89" fillId="0" borderId="0" xfId="10" applyNumberFormat="1" applyFont="1" applyFill="1" applyBorder="1" applyAlignment="1" applyProtection="1">
      <alignment horizontal="center" vertical="center"/>
      <protection locked="0"/>
    </xf>
    <xf numFmtId="49" fontId="89" fillId="14" borderId="3" xfId="10" applyNumberFormat="1" applyFont="1" applyFill="1" applyBorder="1" applyAlignment="1" applyProtection="1">
      <alignment horizontal="center" vertical="center" wrapText="1"/>
      <protection locked="0"/>
    </xf>
    <xf numFmtId="49" fontId="89" fillId="14" borderId="1" xfId="10" applyNumberFormat="1" applyFont="1" applyFill="1" applyBorder="1" applyAlignment="1" applyProtection="1">
      <alignment horizontal="center" vertical="center" wrapText="1"/>
      <protection locked="0"/>
    </xf>
    <xf numFmtId="49" fontId="89" fillId="14" borderId="4" xfId="10" applyNumberFormat="1" applyFont="1" applyFill="1" applyBorder="1" applyAlignment="1" applyProtection="1">
      <alignment horizontal="center" vertical="center" wrapText="1"/>
      <protection locked="0"/>
    </xf>
    <xf numFmtId="0" fontId="89" fillId="0" borderId="1" xfId="10" applyNumberFormat="1" applyFont="1" applyFill="1" applyBorder="1" applyAlignment="1" applyProtection="1">
      <alignment horizontal="center" vertical="center" wrapText="1"/>
      <protection locked="0"/>
    </xf>
    <xf numFmtId="49" fontId="89" fillId="0" borderId="1" xfId="10" applyNumberFormat="1" applyFont="1" applyFill="1" applyBorder="1" applyAlignment="1" applyProtection="1">
      <alignment horizontal="center" vertical="center" wrapText="1"/>
      <protection locked="0"/>
    </xf>
    <xf numFmtId="49" fontId="89" fillId="14" borderId="9" xfId="10" applyNumberFormat="1" applyFont="1" applyFill="1" applyBorder="1" applyAlignment="1" applyProtection="1">
      <alignment horizontal="center" vertical="center" wrapText="1"/>
      <protection locked="0"/>
    </xf>
    <xf numFmtId="49" fontId="89" fillId="14" borderId="69" xfId="10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10" applyNumberFormat="1" applyFont="1" applyFill="1" applyBorder="1" applyAlignment="1" applyProtection="1">
      <alignment horizontal="center" vertical="center" wrapText="1"/>
      <protection locked="0"/>
    </xf>
    <xf numFmtId="49" fontId="89" fillId="0" borderId="9" xfId="10" applyNumberFormat="1" applyFont="1" applyFill="1" applyBorder="1" applyAlignment="1" applyProtection="1">
      <alignment horizontal="center" vertical="center" wrapText="1"/>
      <protection locked="0"/>
    </xf>
    <xf numFmtId="49" fontId="89" fillId="15" borderId="3" xfId="10" applyNumberFormat="1" applyFont="1" applyFill="1" applyBorder="1" applyAlignment="1" applyProtection="1">
      <alignment horizontal="center" vertical="center" wrapText="1"/>
      <protection locked="0"/>
    </xf>
    <xf numFmtId="49" fontId="89" fillId="15" borderId="9" xfId="10" applyNumberFormat="1" applyFont="1" applyFill="1" applyBorder="1" applyAlignment="1" applyProtection="1">
      <alignment horizontal="center" vertical="center" wrapText="1"/>
      <protection locked="0"/>
    </xf>
    <xf numFmtId="49" fontId="89" fillId="15" borderId="88" xfId="10" applyNumberFormat="1" applyFont="1" applyFill="1" applyBorder="1" applyAlignment="1" applyProtection="1">
      <alignment horizontal="center" vertical="center" wrapText="1"/>
      <protection locked="0"/>
    </xf>
    <xf numFmtId="49" fontId="89" fillId="15" borderId="89" xfId="10" applyNumberFormat="1" applyFont="1" applyFill="1" applyBorder="1" applyAlignment="1" applyProtection="1">
      <alignment horizontal="left" vertical="center" wrapText="1"/>
      <protection locked="0"/>
    </xf>
    <xf numFmtId="3" fontId="89" fillId="8" borderId="9" xfId="10" applyNumberFormat="1" applyFont="1" applyFill="1" applyBorder="1" applyAlignment="1" applyProtection="1">
      <alignment horizontal="right" vertical="center"/>
      <protection locked="0"/>
    </xf>
    <xf numFmtId="10" fontId="89" fillId="8" borderId="9" xfId="10" applyNumberFormat="1" applyFont="1" applyFill="1" applyBorder="1" applyAlignment="1" applyProtection="1">
      <alignment horizontal="right" vertical="center"/>
      <protection locked="0"/>
    </xf>
    <xf numFmtId="49" fontId="88" fillId="14" borderId="76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90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91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92" xfId="10" applyNumberFormat="1" applyFont="1" applyFill="1" applyBorder="1" applyAlignment="1" applyProtection="1">
      <alignment horizontal="left" vertical="center" wrapText="1"/>
      <protection locked="0"/>
    </xf>
    <xf numFmtId="3" fontId="95" fillId="17" borderId="90" xfId="10" applyNumberFormat="1" applyFont="1" applyFill="1" applyBorder="1" applyAlignment="1" applyProtection="1">
      <alignment horizontal="right" vertical="center"/>
      <protection locked="0"/>
    </xf>
    <xf numFmtId="10" fontId="95" fillId="17" borderId="90" xfId="10" applyNumberFormat="1" applyFont="1" applyFill="1" applyBorder="1" applyAlignment="1" applyProtection="1">
      <alignment horizontal="right" vertical="center"/>
      <protection locked="0"/>
    </xf>
    <xf numFmtId="3" fontId="89" fillId="0" borderId="8" xfId="10" applyNumberFormat="1" applyFont="1" applyFill="1" applyBorder="1" applyAlignment="1" applyProtection="1">
      <alignment horizontal="right" vertical="center"/>
      <protection locked="0"/>
    </xf>
    <xf numFmtId="10" fontId="89" fillId="0" borderId="8" xfId="10" applyNumberFormat="1" applyFont="1" applyFill="1" applyBorder="1" applyAlignment="1" applyProtection="1">
      <alignment horizontal="right" vertical="center"/>
      <protection locked="0"/>
    </xf>
    <xf numFmtId="3" fontId="88" fillId="0" borderId="95" xfId="10" applyNumberFormat="1" applyFont="1" applyFill="1" applyBorder="1" applyAlignment="1" applyProtection="1">
      <alignment vertical="center"/>
      <protection locked="0"/>
    </xf>
    <xf numFmtId="10" fontId="88" fillId="0" borderId="95" xfId="10" applyNumberFormat="1" applyFont="1" applyFill="1" applyBorder="1" applyAlignment="1" applyProtection="1">
      <alignment horizontal="right" vertical="center"/>
      <protection locked="0"/>
    </xf>
    <xf numFmtId="3" fontId="91" fillId="0" borderId="71" xfId="10" applyNumberFormat="1" applyFont="1" applyFill="1" applyBorder="1" applyAlignment="1" applyProtection="1">
      <alignment horizontal="right" vertical="center"/>
      <protection locked="0"/>
    </xf>
    <xf numFmtId="10" fontId="91" fillId="0" borderId="71" xfId="10" applyNumberFormat="1" applyFont="1" applyFill="1" applyBorder="1" applyAlignment="1" applyProtection="1">
      <alignment horizontal="right" vertical="center"/>
      <protection locked="0"/>
    </xf>
    <xf numFmtId="49" fontId="88" fillId="14" borderId="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9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97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71" xfId="10" applyNumberFormat="1" applyFont="1" applyFill="1" applyBorder="1" applyAlignment="1" applyProtection="1">
      <alignment horizontal="right" vertical="center"/>
      <protection locked="0"/>
    </xf>
    <xf numFmtId="10" fontId="88" fillId="0" borderId="71" xfId="10" applyNumberFormat="1" applyFont="1" applyFill="1" applyBorder="1" applyAlignment="1" applyProtection="1">
      <alignment horizontal="right" vertical="center"/>
      <protection locked="0"/>
    </xf>
    <xf numFmtId="49" fontId="88" fillId="14" borderId="7" xfId="10" applyNumberFormat="1" applyFont="1" applyFill="1" applyBorder="1" applyAlignment="1" applyProtection="1">
      <alignment vertical="center" wrapText="1"/>
      <protection locked="0"/>
    </xf>
    <xf numFmtId="10" fontId="88" fillId="14" borderId="7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10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01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95" xfId="10" applyNumberFormat="1" applyFont="1" applyFill="1" applyBorder="1" applyAlignment="1" applyProtection="1">
      <alignment horizontal="right" vertical="center"/>
      <protection locked="0"/>
    </xf>
    <xf numFmtId="3" fontId="88" fillId="0" borderId="7" xfId="10" applyNumberFormat="1" applyFont="1" applyFill="1" applyBorder="1" applyAlignment="1" applyProtection="1">
      <alignment horizontal="right" vertical="center"/>
      <protection locked="0"/>
    </xf>
    <xf numFmtId="10" fontId="88" fillId="0" borderId="7" xfId="10" applyNumberFormat="1" applyFont="1" applyFill="1" applyBorder="1" applyAlignment="1" applyProtection="1">
      <alignment horizontal="right" vertical="center"/>
      <protection locked="0"/>
    </xf>
    <xf numFmtId="3" fontId="89" fillId="0" borderId="71" xfId="10" applyNumberFormat="1" applyFont="1" applyFill="1" applyBorder="1" applyAlignment="1" applyProtection="1">
      <alignment horizontal="right" vertical="center"/>
      <protection locked="0"/>
    </xf>
    <xf numFmtId="10" fontId="89" fillId="0" borderId="71" xfId="10" applyNumberFormat="1" applyFont="1" applyFill="1" applyBorder="1" applyAlignment="1" applyProtection="1">
      <alignment horizontal="right" vertical="center"/>
      <protection locked="0"/>
    </xf>
    <xf numFmtId="49" fontId="88" fillId="14" borderId="10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05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65" xfId="10" applyNumberFormat="1" applyFont="1" applyFill="1" applyBorder="1" applyAlignment="1" applyProtection="1">
      <alignment horizontal="right" vertical="center"/>
      <protection locked="0"/>
    </xf>
    <xf numFmtId="10" fontId="88" fillId="0" borderId="65" xfId="10" applyNumberFormat="1" applyFont="1" applyFill="1" applyBorder="1" applyAlignment="1" applyProtection="1">
      <alignment horizontal="right" vertical="center"/>
      <protection locked="0"/>
    </xf>
    <xf numFmtId="3" fontId="95" fillId="17" borderId="106" xfId="10" applyNumberFormat="1" applyFont="1" applyFill="1" applyBorder="1" applyAlignment="1" applyProtection="1">
      <alignment horizontal="right" vertical="center"/>
      <protection locked="0"/>
    </xf>
    <xf numFmtId="10" fontId="95" fillId="17" borderId="106" xfId="10" applyNumberFormat="1" applyFont="1" applyFill="1" applyBorder="1" applyAlignment="1" applyProtection="1">
      <alignment horizontal="right" vertical="center"/>
      <protection locked="0"/>
    </xf>
    <xf numFmtId="49" fontId="88" fillId="0" borderId="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0" xfId="10" applyNumberFormat="1" applyFont="1" applyFill="1" applyBorder="1" applyAlignment="1" applyProtection="1">
      <alignment vertical="center" wrapText="1"/>
      <protection locked="0"/>
    </xf>
    <xf numFmtId="49" fontId="88" fillId="14" borderId="71" xfId="10" applyNumberFormat="1" applyFont="1" applyFill="1" applyBorder="1" applyAlignment="1" applyProtection="1">
      <alignment vertical="center" wrapText="1"/>
      <protection locked="0"/>
    </xf>
    <xf numFmtId="10" fontId="88" fillId="14" borderId="71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10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0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0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1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1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12" xfId="10" applyNumberFormat="1" applyFont="1" applyFill="1" applyBorder="1" applyAlignment="1" applyProtection="1">
      <alignment horizontal="left" vertical="center" wrapText="1"/>
      <protection locked="0"/>
    </xf>
    <xf numFmtId="3" fontId="95" fillId="17" borderId="113" xfId="10" applyNumberFormat="1" applyFont="1" applyFill="1" applyBorder="1" applyAlignment="1" applyProtection="1">
      <alignment horizontal="right" vertical="center"/>
      <protection locked="0"/>
    </xf>
    <xf numFmtId="10" fontId="95" fillId="17" borderId="113" xfId="1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10" fontId="0" fillId="0" borderId="7" xfId="0" applyNumberFormat="1" applyBorder="1" applyAlignment="1">
      <alignment horizontal="right" vertical="center"/>
    </xf>
    <xf numFmtId="3" fontId="91" fillId="0" borderId="95" xfId="10" applyNumberFormat="1" applyFont="1" applyFill="1" applyBorder="1" applyAlignment="1" applyProtection="1">
      <alignment horizontal="right" vertical="center"/>
      <protection locked="0"/>
    </xf>
    <xf numFmtId="10" fontId="91" fillId="0" borderId="95" xfId="10" applyNumberFormat="1" applyFont="1" applyFill="1" applyBorder="1" applyAlignment="1" applyProtection="1">
      <alignment horizontal="right" vertical="center"/>
      <protection locked="0"/>
    </xf>
    <xf numFmtId="49" fontId="88" fillId="14" borderId="11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95" xfId="10" applyNumberFormat="1" applyFont="1" applyFill="1" applyBorder="1" applyAlignment="1" applyProtection="1">
      <alignment vertical="center" wrapText="1"/>
      <protection locked="0"/>
    </xf>
    <xf numFmtId="10" fontId="88" fillId="14" borderId="95" xfId="10" applyNumberFormat="1" applyFont="1" applyFill="1" applyBorder="1" applyAlignment="1" applyProtection="1">
      <alignment horizontal="right" vertical="center" wrapText="1"/>
      <protection locked="0"/>
    </xf>
    <xf numFmtId="3" fontId="88" fillId="14" borderId="7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11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17" xfId="10" applyNumberFormat="1" applyFont="1" applyFill="1" applyBorder="1" applyAlignment="1" applyProtection="1">
      <alignment horizontal="left" vertical="center" wrapText="1"/>
      <protection locked="0"/>
    </xf>
    <xf numFmtId="3" fontId="88" fillId="14" borderId="95" xfId="10" applyNumberFormat="1" applyFont="1" applyFill="1" applyBorder="1" applyAlignment="1" applyProtection="1">
      <alignment horizontal="right" vertical="center" wrapText="1"/>
      <protection locked="0"/>
    </xf>
    <xf numFmtId="3" fontId="89" fillId="0" borderId="118" xfId="10" applyNumberFormat="1" applyFont="1" applyFill="1" applyBorder="1" applyAlignment="1" applyProtection="1">
      <alignment horizontal="right" vertical="center"/>
      <protection locked="0"/>
    </xf>
    <xf numFmtId="10" fontId="89" fillId="0" borderId="118" xfId="10" applyNumberFormat="1" applyFont="1" applyFill="1" applyBorder="1" applyAlignment="1" applyProtection="1">
      <alignment horizontal="right" vertical="center"/>
      <protection locked="0"/>
    </xf>
    <xf numFmtId="3" fontId="88" fillId="0" borderId="118" xfId="10" applyNumberFormat="1" applyFont="1" applyFill="1" applyBorder="1" applyAlignment="1" applyProtection="1">
      <alignment horizontal="right" vertical="center"/>
      <protection locked="0"/>
    </xf>
    <xf numFmtId="10" fontId="88" fillId="0" borderId="118" xfId="10" applyNumberFormat="1" applyFont="1" applyFill="1" applyBorder="1" applyAlignment="1" applyProtection="1">
      <alignment horizontal="right" vertical="center"/>
      <protection locked="0"/>
    </xf>
    <xf numFmtId="49" fontId="88" fillId="14" borderId="12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2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2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2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24" xfId="10" applyNumberFormat="1" applyFont="1" applyFill="1" applyBorder="1" applyAlignment="1" applyProtection="1">
      <alignment horizontal="center" vertical="center" wrapText="1"/>
      <protection locked="0"/>
    </xf>
    <xf numFmtId="0" fontId="61" fillId="0" borderId="125" xfId="0" applyFont="1" applyBorder="1" applyAlignment="1">
      <alignment horizontal="left" vertical="center" wrapText="1"/>
    </xf>
    <xf numFmtId="3" fontId="88" fillId="0" borderId="126" xfId="10" applyNumberFormat="1" applyFont="1" applyFill="1" applyBorder="1" applyAlignment="1" applyProtection="1">
      <alignment horizontal="right" vertical="center"/>
      <protection locked="0"/>
    </xf>
    <xf numFmtId="10" fontId="88" fillId="0" borderId="126" xfId="10" applyNumberFormat="1" applyFont="1" applyFill="1" applyBorder="1" applyAlignment="1" applyProtection="1">
      <alignment horizontal="right" vertical="center"/>
      <protection locked="0"/>
    </xf>
    <xf numFmtId="49" fontId="95" fillId="16" borderId="1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127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128" xfId="10" applyNumberFormat="1" applyFont="1" applyFill="1" applyBorder="1" applyAlignment="1" applyProtection="1">
      <alignment horizontal="left" vertical="center" wrapText="1"/>
      <protection locked="0"/>
    </xf>
    <xf numFmtId="3" fontId="95" fillId="17" borderId="1" xfId="10" applyNumberFormat="1" applyFont="1" applyFill="1" applyBorder="1" applyAlignment="1" applyProtection="1">
      <alignment horizontal="right" vertical="center"/>
      <protection locked="0"/>
    </xf>
    <xf numFmtId="10" fontId="95" fillId="17" borderId="1" xfId="10" applyNumberFormat="1" applyFon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49" fontId="88" fillId="0" borderId="132" xfId="10" applyNumberFormat="1" applyFont="1" applyFill="1" applyBorder="1" applyAlignment="1" applyProtection="1">
      <alignment horizontal="center" vertical="center" wrapText="1"/>
      <protection locked="0"/>
    </xf>
    <xf numFmtId="2" fontId="88" fillId="0" borderId="13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3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35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7" xfId="10" applyNumberFormat="1" applyFont="1" applyFill="1" applyBorder="1" applyAlignment="1" applyProtection="1">
      <alignment vertical="center" wrapText="1"/>
      <protection locked="0"/>
    </xf>
    <xf numFmtId="49" fontId="88" fillId="14" borderId="13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3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25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8" xfId="10" applyNumberFormat="1" applyFont="1" applyFill="1" applyBorder="1" applyAlignment="1" applyProtection="1">
      <alignment horizontal="right" vertical="center"/>
      <protection locked="0"/>
    </xf>
    <xf numFmtId="10" fontId="88" fillId="0" borderId="8" xfId="10" applyNumberFormat="1" applyFont="1" applyFill="1" applyBorder="1" applyAlignment="1" applyProtection="1">
      <alignment horizontal="right" vertical="center"/>
      <protection locked="0"/>
    </xf>
    <xf numFmtId="3" fontId="91" fillId="0" borderId="118" xfId="10" applyNumberFormat="1" applyFont="1" applyFill="1" applyBorder="1" applyAlignment="1" applyProtection="1">
      <alignment horizontal="right" vertical="center"/>
      <protection locked="0"/>
    </xf>
    <xf numFmtId="10" fontId="91" fillId="0" borderId="118" xfId="10" applyNumberFormat="1" applyFont="1" applyFill="1" applyBorder="1" applyAlignment="1" applyProtection="1">
      <alignment horizontal="right" vertical="center"/>
      <protection locked="0"/>
    </xf>
    <xf numFmtId="49" fontId="88" fillId="0" borderId="134" xfId="10" applyNumberFormat="1" applyFont="1" applyFill="1" applyBorder="1" applyAlignment="1" applyProtection="1">
      <alignment horizontal="center" vertical="center" wrapText="1"/>
      <protection locked="0"/>
    </xf>
    <xf numFmtId="0" fontId="61" fillId="0" borderId="136" xfId="0" applyFont="1" applyBorder="1" applyAlignment="1">
      <alignment vertical="center" wrapText="1"/>
    </xf>
    <xf numFmtId="49" fontId="88" fillId="0" borderId="139" xfId="10" applyNumberFormat="1" applyFont="1" applyFill="1" applyBorder="1" applyAlignment="1" applyProtection="1">
      <alignment horizontal="center" vertical="center" wrapText="1"/>
      <protection locked="0"/>
    </xf>
    <xf numFmtId="0" fontId="61" fillId="0" borderId="119" xfId="0" applyFont="1" applyBorder="1" applyAlignment="1">
      <alignment vertical="center" wrapText="1"/>
    </xf>
    <xf numFmtId="49" fontId="88" fillId="14" borderId="13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1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19" xfId="10" applyNumberFormat="1" applyFont="1" applyFill="1" applyBorder="1" applyAlignment="1" applyProtection="1">
      <alignment vertical="center" wrapText="1"/>
      <protection locked="0"/>
    </xf>
    <xf numFmtId="49" fontId="88" fillId="14" borderId="140" xfId="10" applyNumberFormat="1" applyFont="1" applyFill="1" applyBorder="1" applyAlignment="1" applyProtection="1">
      <alignment vertical="center" wrapText="1"/>
      <protection locked="0"/>
    </xf>
    <xf numFmtId="10" fontId="88" fillId="14" borderId="140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14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42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6" xfId="10" applyNumberFormat="1" applyFont="1" applyFill="1" applyBorder="1" applyAlignment="1" applyProtection="1">
      <alignment horizontal="right" vertical="center"/>
      <protection locked="0"/>
    </xf>
    <xf numFmtId="49" fontId="89" fillId="15" borderId="1" xfId="10" applyNumberFormat="1" applyFont="1" applyFill="1" applyBorder="1" applyAlignment="1" applyProtection="1">
      <alignment horizontal="center" vertical="center" wrapText="1"/>
      <protection locked="0"/>
    </xf>
    <xf numFmtId="49" fontId="89" fillId="15" borderId="127" xfId="10" applyNumberFormat="1" applyFont="1" applyFill="1" applyBorder="1" applyAlignment="1" applyProtection="1">
      <alignment horizontal="center" vertical="center" wrapText="1"/>
      <protection locked="0"/>
    </xf>
    <xf numFmtId="49" fontId="89" fillId="15" borderId="128" xfId="10" applyNumberFormat="1" applyFont="1" applyFill="1" applyBorder="1" applyAlignment="1" applyProtection="1">
      <alignment horizontal="left" vertical="center" wrapText="1"/>
      <protection locked="0"/>
    </xf>
    <xf numFmtId="3" fontId="89" fillId="8" borderId="1" xfId="10" applyNumberFormat="1" applyFont="1" applyFill="1" applyBorder="1" applyAlignment="1" applyProtection="1">
      <alignment horizontal="right" vertical="center"/>
      <protection locked="0"/>
    </xf>
    <xf numFmtId="10" fontId="89" fillId="8" borderId="1" xfId="10" applyNumberFormat="1" applyFont="1" applyFill="1" applyBorder="1" applyAlignment="1" applyProtection="1">
      <alignment horizontal="right" vertical="center"/>
      <protection locked="0"/>
    </xf>
    <xf numFmtId="2" fontId="88" fillId="0" borderId="9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36" xfId="10" applyNumberFormat="1" applyFont="1" applyFill="1" applyBorder="1" applyAlignment="1" applyProtection="1">
      <alignment horizontal="left" vertical="center" wrapText="1"/>
      <protection locked="0"/>
    </xf>
    <xf numFmtId="49" fontId="89" fillId="15" borderId="143" xfId="10" applyNumberFormat="1" applyFont="1" applyFill="1" applyBorder="1" applyAlignment="1" applyProtection="1">
      <alignment horizontal="center" vertical="center" wrapText="1"/>
      <protection locked="0"/>
    </xf>
    <xf numFmtId="49" fontId="89" fillId="15" borderId="144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145" xfId="10" applyNumberFormat="1" applyFont="1" applyFill="1" applyBorder="1" applyAlignment="1" applyProtection="1">
      <alignment horizontal="right" vertical="center"/>
      <protection locked="0"/>
    </xf>
    <xf numFmtId="10" fontId="88" fillId="0" borderId="145" xfId="10" applyNumberFormat="1" applyFont="1" applyFill="1" applyBorder="1" applyAlignment="1" applyProtection="1">
      <alignment horizontal="right" vertical="center"/>
      <protection locked="0"/>
    </xf>
    <xf numFmtId="49" fontId="88" fillId="14" borderId="14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4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4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49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150" xfId="10" applyNumberFormat="1" applyFont="1" applyFill="1" applyBorder="1" applyAlignment="1" applyProtection="1">
      <alignment horizontal="right" vertical="center"/>
      <protection locked="0"/>
    </xf>
    <xf numFmtId="49" fontId="88" fillId="14" borderId="151" xfId="10" applyNumberFormat="1" applyFont="1" applyFill="1" applyBorder="1" applyAlignment="1" applyProtection="1">
      <alignment vertical="center" wrapText="1"/>
      <protection locked="0"/>
    </xf>
    <xf numFmtId="49" fontId="88" fillId="14" borderId="152" xfId="10" applyNumberFormat="1" applyFont="1" applyFill="1" applyBorder="1" applyAlignment="1" applyProtection="1">
      <alignment vertical="center" wrapText="1"/>
      <protection locked="0"/>
    </xf>
    <xf numFmtId="3" fontId="88" fillId="14" borderId="8" xfId="10" applyNumberFormat="1" applyFont="1" applyFill="1" applyBorder="1" applyAlignment="1" applyProtection="1">
      <alignment horizontal="right" vertical="center" wrapText="1"/>
      <protection locked="0"/>
    </xf>
    <xf numFmtId="10" fontId="88" fillId="14" borderId="8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153" xfId="10" applyNumberFormat="1" applyFont="1" applyFill="1" applyBorder="1" applyAlignment="1" applyProtection="1">
      <alignment horizontal="left" vertical="center" wrapText="1"/>
      <protection locked="0"/>
    </xf>
    <xf numFmtId="10" fontId="88" fillId="14" borderId="154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132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140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134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13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1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5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5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7" xfId="10" applyNumberFormat="1" applyFont="1" applyFill="1" applyBorder="1" applyAlignment="1" applyProtection="1">
      <alignment vertical="center" wrapText="1"/>
      <protection locked="0"/>
    </xf>
    <xf numFmtId="49" fontId="88" fillId="14" borderId="8" xfId="10" applyNumberFormat="1" applyFont="1" applyFill="1" applyBorder="1" applyAlignment="1" applyProtection="1">
      <alignment vertical="center" wrapText="1"/>
      <protection locked="0"/>
    </xf>
    <xf numFmtId="49" fontId="88" fillId="0" borderId="157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119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158" xfId="10" applyNumberFormat="1" applyFont="1" applyFill="1" applyBorder="1" applyAlignment="1" applyProtection="1">
      <alignment horizontal="right" vertical="center"/>
      <protection locked="0"/>
    </xf>
    <xf numFmtId="10" fontId="88" fillId="0" borderId="158" xfId="10" applyNumberFormat="1" applyFont="1" applyFill="1" applyBorder="1" applyAlignment="1" applyProtection="1">
      <alignment horizontal="right" vertical="center"/>
      <protection locked="0"/>
    </xf>
    <xf numFmtId="3" fontId="89" fillId="0" borderId="95" xfId="10" applyNumberFormat="1" applyFont="1" applyFill="1" applyBorder="1" applyAlignment="1" applyProtection="1">
      <alignment horizontal="right" vertical="center"/>
      <protection locked="0"/>
    </xf>
    <xf numFmtId="10" fontId="89" fillId="0" borderId="95" xfId="10" applyNumberFormat="1" applyFont="1" applyFill="1" applyBorder="1" applyAlignment="1" applyProtection="1">
      <alignment horizontal="right" vertical="center"/>
      <protection locked="0"/>
    </xf>
    <xf numFmtId="3" fontId="89" fillId="0" borderId="2" xfId="10" applyNumberFormat="1" applyFont="1" applyFill="1" applyBorder="1" applyAlignment="1" applyProtection="1">
      <alignment horizontal="right" vertical="center"/>
      <protection locked="0"/>
    </xf>
    <xf numFmtId="49" fontId="88" fillId="14" borderId="15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5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6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6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62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61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16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64" xfId="10" applyNumberFormat="1" applyFont="1" applyFill="1" applyBorder="1" applyAlignment="1" applyProtection="1">
      <alignment horizontal="left" vertical="center" wrapText="1"/>
      <protection locked="0"/>
    </xf>
    <xf numFmtId="3" fontId="89" fillId="17" borderId="1" xfId="10" applyNumberFormat="1" applyFont="1" applyFill="1" applyBorder="1" applyAlignment="1" applyProtection="1">
      <alignment horizontal="right" vertical="center"/>
      <protection locked="0"/>
    </xf>
    <xf numFmtId="10" fontId="89" fillId="17" borderId="1" xfId="10" applyNumberFormat="1" applyFont="1" applyFill="1" applyBorder="1" applyAlignment="1" applyProtection="1">
      <alignment horizontal="right" vertical="center"/>
      <protection locked="0"/>
    </xf>
    <xf numFmtId="10" fontId="89" fillId="0" borderId="2" xfId="10" applyNumberFormat="1" applyFont="1" applyFill="1" applyBorder="1" applyAlignment="1" applyProtection="1">
      <alignment horizontal="right" vertical="center"/>
      <protection locked="0"/>
    </xf>
    <xf numFmtId="10" fontId="88" fillId="0" borderId="165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16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7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93" xfId="10" applyNumberFormat="1" applyFont="1" applyFill="1" applyBorder="1" applyAlignment="1" applyProtection="1">
      <alignment horizontal="left" vertical="center" wrapText="1"/>
      <protection locked="0"/>
    </xf>
    <xf numFmtId="3" fontId="89" fillId="0" borderId="7" xfId="10" applyNumberFormat="1" applyFont="1" applyFill="1" applyBorder="1" applyAlignment="1" applyProtection="1">
      <alignment horizontal="right" vertical="center"/>
      <protection locked="0"/>
    </xf>
    <xf numFmtId="3" fontId="89" fillId="0" borderId="0" xfId="10" applyNumberFormat="1" applyFont="1" applyFill="1" applyBorder="1" applyAlignment="1" applyProtection="1">
      <alignment horizontal="right" vertical="center"/>
      <protection locked="0"/>
    </xf>
    <xf numFmtId="3" fontId="88" fillId="0" borderId="126" xfId="10" applyNumberFormat="1" applyFont="1" applyFill="1" applyBorder="1" applyAlignment="1" applyProtection="1">
      <alignment horizontal="right" vertical="center" wrapText="1"/>
      <protection locked="0"/>
    </xf>
    <xf numFmtId="10" fontId="88" fillId="0" borderId="126" xfId="10" applyNumberFormat="1" applyFont="1" applyFill="1" applyBorder="1" applyAlignment="1" applyProtection="1">
      <alignment horizontal="right" vertical="center" wrapText="1"/>
      <protection locked="0"/>
    </xf>
    <xf numFmtId="49" fontId="88" fillId="0" borderId="148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159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95" xfId="10" applyNumberFormat="1" applyFont="1" applyFill="1" applyBorder="1" applyAlignment="1" applyProtection="1">
      <alignment horizontal="right" vertical="center" wrapText="1"/>
      <protection locked="0"/>
    </xf>
    <xf numFmtId="10" fontId="88" fillId="0" borderId="95" xfId="10" applyNumberFormat="1" applyFont="1" applyFill="1" applyBorder="1" applyAlignment="1" applyProtection="1">
      <alignment horizontal="right" vertical="center" wrapText="1"/>
      <protection locked="0"/>
    </xf>
    <xf numFmtId="49" fontId="88" fillId="0" borderId="160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67" xfId="10" applyNumberFormat="1" applyFont="1" applyFill="1" applyBorder="1" applyAlignment="1" applyProtection="1">
      <alignment horizontal="center" vertical="center" wrapText="1"/>
      <protection locked="0"/>
    </xf>
    <xf numFmtId="3" fontId="91" fillId="0" borderId="8" xfId="10" applyNumberFormat="1" applyFont="1" applyFill="1" applyBorder="1" applyAlignment="1" applyProtection="1">
      <alignment horizontal="right" vertical="center"/>
      <protection locked="0"/>
    </xf>
    <xf numFmtId="3" fontId="91" fillId="0" borderId="158" xfId="10" applyNumberFormat="1" applyFont="1" applyFill="1" applyBorder="1" applyAlignment="1" applyProtection="1">
      <alignment horizontal="right" vertical="center"/>
      <protection locked="0"/>
    </xf>
    <xf numFmtId="10" fontId="91" fillId="0" borderId="8" xfId="10" applyNumberFormat="1" applyFont="1" applyFill="1" applyBorder="1" applyAlignment="1" applyProtection="1">
      <alignment horizontal="right" vertical="center"/>
      <protection locked="0"/>
    </xf>
    <xf numFmtId="49" fontId="88" fillId="14" borderId="168" xfId="10" applyNumberFormat="1" applyFont="1" applyFill="1" applyBorder="1" applyAlignment="1" applyProtection="1">
      <alignment vertical="center" wrapText="1"/>
      <protection locked="0"/>
    </xf>
    <xf numFmtId="49" fontId="88" fillId="14" borderId="20" xfId="10" applyNumberFormat="1" applyFont="1" applyFill="1" applyBorder="1" applyAlignment="1" applyProtection="1">
      <alignment vertical="center" wrapText="1"/>
      <protection locked="0"/>
    </xf>
    <xf numFmtId="2" fontId="88" fillId="14" borderId="8" xfId="10" applyNumberFormat="1" applyFont="1" applyFill="1" applyBorder="1" applyAlignment="1" applyProtection="1">
      <alignment horizontal="right" vertical="center" wrapText="1"/>
      <protection locked="0"/>
    </xf>
    <xf numFmtId="10" fontId="88" fillId="0" borderId="30" xfId="10" applyNumberFormat="1" applyFont="1" applyFill="1" applyBorder="1" applyAlignment="1" applyProtection="1">
      <alignment horizontal="right" vertical="center"/>
      <protection locked="0"/>
    </xf>
    <xf numFmtId="49" fontId="88" fillId="14" borderId="16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70" xfId="10" applyNumberFormat="1" applyFont="1" applyFill="1" applyBorder="1" applyAlignment="1" applyProtection="1">
      <alignment vertical="center" wrapText="1"/>
      <protection locked="0"/>
    </xf>
    <xf numFmtId="49" fontId="88" fillId="14" borderId="8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171" xfId="10" applyNumberFormat="1" applyFont="1" applyFill="1" applyBorder="1" applyAlignment="1" applyProtection="1">
      <alignment vertical="center" wrapText="1"/>
      <protection locked="0"/>
    </xf>
    <xf numFmtId="10" fontId="88" fillId="14" borderId="158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17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7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7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75" xfId="10" applyNumberFormat="1" applyFont="1" applyFill="1" applyBorder="1" applyAlignment="1" applyProtection="1">
      <alignment vertical="center" wrapText="1"/>
      <protection locked="0"/>
    </xf>
    <xf numFmtId="0" fontId="0" fillId="0" borderId="176" xfId="0" applyBorder="1" applyAlignment="1">
      <alignment vertical="center"/>
    </xf>
    <xf numFmtId="0" fontId="0" fillId="0" borderId="95" xfId="0" applyBorder="1" applyAlignment="1">
      <alignment vertical="center"/>
    </xf>
    <xf numFmtId="10" fontId="0" fillId="0" borderId="95" xfId="0" applyNumberFormat="1" applyBorder="1" applyAlignment="1">
      <alignment horizontal="right" vertical="center"/>
    </xf>
    <xf numFmtId="49" fontId="88" fillId="14" borderId="179" xfId="10" applyNumberFormat="1" applyFont="1" applyFill="1" applyBorder="1" applyAlignment="1" applyProtection="1">
      <alignment horizontal="center" vertical="center" wrapText="1"/>
      <protection locked="0"/>
    </xf>
    <xf numFmtId="0" fontId="61" fillId="0" borderId="180" xfId="0" applyFont="1" applyBorder="1" applyAlignment="1">
      <alignment horizontal="left" vertical="center" wrapText="1"/>
    </xf>
    <xf numFmtId="49" fontId="88" fillId="14" borderId="18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8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8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8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8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8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86" xfId="10" applyNumberFormat="1" applyFont="1" applyFill="1" applyBorder="1" applyAlignment="1" applyProtection="1">
      <alignment horizontal="center" vertical="center" wrapText="1"/>
      <protection locked="0"/>
    </xf>
    <xf numFmtId="3" fontId="61" fillId="0" borderId="7" xfId="10" applyNumberFormat="1" applyFont="1" applyFill="1" applyBorder="1" applyAlignment="1" applyProtection="1">
      <alignment horizontal="right" vertical="center"/>
      <protection locked="0"/>
    </xf>
    <xf numFmtId="3" fontId="88" fillId="0" borderId="187" xfId="10" applyNumberFormat="1" applyFont="1" applyFill="1" applyBorder="1" applyAlignment="1" applyProtection="1">
      <alignment horizontal="right" vertical="center"/>
      <protection locked="0"/>
    </xf>
    <xf numFmtId="10" fontId="88" fillId="0" borderId="187" xfId="10" applyNumberFormat="1" applyFont="1" applyFill="1" applyBorder="1" applyAlignment="1" applyProtection="1">
      <alignment horizontal="right" vertical="center"/>
      <protection locked="0"/>
    </xf>
    <xf numFmtId="49" fontId="95" fillId="18" borderId="9" xfId="10" applyNumberFormat="1" applyFont="1" applyFill="1" applyBorder="1" applyAlignment="1" applyProtection="1">
      <alignment horizontal="center" vertical="center" wrapText="1"/>
      <protection locked="0"/>
    </xf>
    <xf numFmtId="3" fontId="89" fillId="4" borderId="2" xfId="10" applyNumberFormat="1" applyFont="1" applyFill="1" applyBorder="1" applyAlignment="1" applyProtection="1">
      <alignment horizontal="right" vertical="center"/>
      <protection locked="0"/>
    </xf>
    <xf numFmtId="10" fontId="89" fillId="4" borderId="2" xfId="10" applyNumberFormat="1" applyFont="1" applyFill="1" applyBorder="1" applyAlignment="1" applyProtection="1">
      <alignment horizontal="right" vertical="center"/>
      <protection locked="0"/>
    </xf>
    <xf numFmtId="49" fontId="95" fillId="18" borderId="7" xfId="10" applyNumberFormat="1" applyFont="1" applyFill="1" applyBorder="1" applyAlignment="1" applyProtection="1">
      <alignment horizontal="center" vertical="center" wrapText="1"/>
      <protection locked="0"/>
    </xf>
    <xf numFmtId="3" fontId="88" fillId="4" borderId="95" xfId="10" applyNumberFormat="1" applyFont="1" applyFill="1" applyBorder="1" applyAlignment="1" applyProtection="1">
      <alignment horizontal="right" vertical="center"/>
      <protection locked="0"/>
    </xf>
    <xf numFmtId="10" fontId="88" fillId="4" borderId="95" xfId="10" applyNumberFormat="1" applyFont="1" applyFill="1" applyBorder="1" applyAlignment="1" applyProtection="1">
      <alignment horizontal="right" vertical="center"/>
      <protection locked="0"/>
    </xf>
    <xf numFmtId="49" fontId="88" fillId="0" borderId="188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179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93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93" xfId="10" applyNumberFormat="1" applyFont="1" applyFill="1" applyBorder="1" applyAlignment="1" applyProtection="1">
      <alignment horizontal="left" vertical="center" wrapText="1"/>
      <protection locked="0"/>
    </xf>
    <xf numFmtId="3" fontId="95" fillId="4" borderId="95" xfId="10" applyNumberFormat="1" applyFont="1" applyFill="1" applyBorder="1" applyAlignment="1" applyProtection="1">
      <alignment horizontal="right" vertical="center"/>
      <protection locked="0"/>
    </xf>
    <xf numFmtId="10" fontId="95" fillId="4" borderId="95" xfId="10" applyNumberFormat="1" applyFont="1" applyFill="1" applyBorder="1" applyAlignment="1" applyProtection="1">
      <alignment horizontal="right" vertical="center"/>
      <protection locked="0"/>
    </xf>
    <xf numFmtId="49" fontId="95" fillId="0" borderId="76" xfId="10" applyNumberFormat="1" applyFont="1" applyFill="1" applyBorder="1" applyAlignment="1" applyProtection="1">
      <alignment horizontal="center" vertical="center" wrapText="1"/>
      <protection locked="0"/>
    </xf>
    <xf numFmtId="49" fontId="95" fillId="17" borderId="41" xfId="10" applyNumberFormat="1" applyFont="1" applyFill="1" applyBorder="1" applyAlignment="1" applyProtection="1">
      <alignment horizontal="center" vertical="center" wrapText="1"/>
      <protection locked="0"/>
    </xf>
    <xf numFmtId="49" fontId="95" fillId="17" borderId="35" xfId="10" applyNumberFormat="1" applyFont="1" applyFill="1" applyBorder="1" applyAlignment="1" applyProtection="1">
      <alignment horizontal="center" vertical="center" wrapText="1"/>
      <protection locked="0"/>
    </xf>
    <xf numFmtId="49" fontId="95" fillId="17" borderId="35" xfId="10" applyNumberFormat="1" applyFont="1" applyFill="1" applyBorder="1" applyAlignment="1" applyProtection="1">
      <alignment horizontal="left" vertical="center" wrapText="1"/>
      <protection locked="0"/>
    </xf>
    <xf numFmtId="3" fontId="95" fillId="17" borderId="36" xfId="10" applyNumberFormat="1" applyFont="1" applyFill="1" applyBorder="1" applyAlignment="1" applyProtection="1">
      <alignment horizontal="right" vertical="center"/>
      <protection locked="0"/>
    </xf>
    <xf numFmtId="10" fontId="89" fillId="7" borderId="1" xfId="10" applyNumberFormat="1" applyFont="1" applyFill="1" applyBorder="1" applyAlignment="1" applyProtection="1">
      <alignment horizontal="right" vertical="center"/>
      <protection locked="0"/>
    </xf>
    <xf numFmtId="3" fontId="95" fillId="0" borderId="0" xfId="10" applyNumberFormat="1" applyFont="1" applyFill="1" applyBorder="1" applyAlignment="1" applyProtection="1">
      <alignment horizontal="center" vertical="center"/>
      <protection locked="0"/>
    </xf>
    <xf numFmtId="3" fontId="95" fillId="0" borderId="0" xfId="10" applyNumberFormat="1" applyFont="1" applyFill="1" applyBorder="1" applyAlignment="1" applyProtection="1">
      <alignment horizontal="left" vertical="center"/>
      <protection locked="0"/>
    </xf>
    <xf numFmtId="0" fontId="95" fillId="0" borderId="0" xfId="10" applyNumberFormat="1" applyFont="1" applyFill="1" applyBorder="1" applyAlignment="1" applyProtection="1">
      <alignment horizontal="left" vertical="center"/>
      <protection locked="0"/>
    </xf>
    <xf numFmtId="0" fontId="95" fillId="0" borderId="189" xfId="10" applyNumberFormat="1" applyFont="1" applyFill="1" applyBorder="1" applyAlignment="1" applyProtection="1">
      <alignment horizontal="left" vertical="center"/>
      <protection locked="0"/>
    </xf>
    <xf numFmtId="3" fontId="89" fillId="0" borderId="18" xfId="10" applyNumberFormat="1" applyFont="1" applyFill="1" applyBorder="1" applyAlignment="1" applyProtection="1">
      <alignment horizontal="right" vertical="center"/>
      <protection locked="0"/>
    </xf>
    <xf numFmtId="10" fontId="89" fillId="0" borderId="9" xfId="10" applyNumberFormat="1" applyFont="1" applyFill="1" applyBorder="1" applyAlignment="1" applyProtection="1">
      <alignment horizontal="right" vertical="center"/>
      <protection locked="0"/>
    </xf>
    <xf numFmtId="0" fontId="88" fillId="0" borderId="189" xfId="10" applyNumberFormat="1" applyFont="1" applyFill="1" applyBorder="1" applyAlignment="1" applyProtection="1">
      <alignment horizontal="left" vertical="center"/>
      <protection locked="0"/>
    </xf>
    <xf numFmtId="3" fontId="88" fillId="0" borderId="175" xfId="10" applyNumberFormat="1" applyFont="1" applyFill="1" applyBorder="1" applyAlignment="1" applyProtection="1">
      <alignment horizontal="right" vertical="center"/>
      <protection locked="0"/>
    </xf>
    <xf numFmtId="3" fontId="88" fillId="0" borderId="29" xfId="10" applyNumberFormat="1" applyFont="1" applyFill="1" applyBorder="1" applyAlignment="1" applyProtection="1">
      <alignment horizontal="right" vertical="center"/>
      <protection locked="0"/>
    </xf>
    <xf numFmtId="10" fontId="89" fillId="0" borderId="7" xfId="10" applyNumberFormat="1" applyFont="1" applyFill="1" applyBorder="1" applyAlignment="1" applyProtection="1">
      <alignment horizontal="right" vertical="center"/>
      <protection locked="0"/>
    </xf>
    <xf numFmtId="49" fontId="95" fillId="16" borderId="190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143" xfId="10" applyNumberFormat="1" applyFont="1" applyFill="1" applyBorder="1" applyAlignment="1" applyProtection="1">
      <alignment horizontal="center" vertical="center" wrapText="1"/>
      <protection locked="0"/>
    </xf>
    <xf numFmtId="3" fontId="89" fillId="4" borderId="8" xfId="10" applyNumberFormat="1" applyFont="1" applyFill="1" applyBorder="1" applyAlignment="1" applyProtection="1">
      <alignment horizontal="right" vertical="center"/>
      <protection locked="0"/>
    </xf>
    <xf numFmtId="10" fontId="88" fillId="0" borderId="16" xfId="10" applyNumberFormat="1" applyFont="1" applyFill="1" applyBorder="1" applyAlignment="1" applyProtection="1">
      <alignment horizontal="right" vertical="center"/>
      <protection locked="0"/>
    </xf>
    <xf numFmtId="49" fontId="91" fillId="18" borderId="7" xfId="10" applyNumberFormat="1" applyFont="1" applyFill="1" applyBorder="1" applyAlignment="1" applyProtection="1">
      <alignment horizontal="center" vertical="center" wrapText="1"/>
      <protection locked="0"/>
    </xf>
    <xf numFmtId="3" fontId="89" fillId="4" borderId="95" xfId="10" applyNumberFormat="1" applyFont="1" applyFill="1" applyBorder="1" applyAlignment="1" applyProtection="1">
      <alignment horizontal="right" vertical="center"/>
      <protection locked="0"/>
    </xf>
    <xf numFmtId="10" fontId="88" fillId="0" borderId="191" xfId="10" applyNumberFormat="1" applyFont="1" applyFill="1" applyBorder="1" applyAlignment="1" applyProtection="1">
      <alignment horizontal="right" vertical="center"/>
      <protection locked="0"/>
    </xf>
    <xf numFmtId="49" fontId="88" fillId="18" borderId="160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176" xfId="10" applyNumberFormat="1" applyFont="1" applyFill="1" applyBorder="1" applyAlignment="1" applyProtection="1">
      <alignment horizontal="left" vertical="center" wrapText="1"/>
      <protection locked="0"/>
    </xf>
    <xf numFmtId="10" fontId="89" fillId="0" borderId="81" xfId="10" applyNumberFormat="1" applyFont="1" applyFill="1" applyBorder="1" applyAlignment="1" applyProtection="1">
      <alignment horizontal="right" vertical="center"/>
      <protection locked="0"/>
    </xf>
    <xf numFmtId="10" fontId="88" fillId="0" borderId="192" xfId="10" applyNumberFormat="1" applyFont="1" applyFill="1" applyBorder="1" applyAlignment="1" applyProtection="1">
      <alignment horizontal="right" vertical="center"/>
      <protection locked="0"/>
    </xf>
    <xf numFmtId="10" fontId="88" fillId="0" borderId="66" xfId="10" applyNumberFormat="1" applyFont="1" applyFill="1" applyBorder="1" applyAlignment="1" applyProtection="1">
      <alignment horizontal="right" vertical="center"/>
      <protection locked="0"/>
    </xf>
    <xf numFmtId="3" fontId="88" fillId="0" borderId="194" xfId="10" applyNumberFormat="1" applyFont="1" applyFill="1" applyBorder="1" applyAlignment="1" applyProtection="1">
      <alignment horizontal="right" vertical="center"/>
      <protection locked="0"/>
    </xf>
    <xf numFmtId="10" fontId="88" fillId="0" borderId="194" xfId="10" applyNumberFormat="1" applyFont="1" applyFill="1" applyBorder="1" applyAlignment="1" applyProtection="1">
      <alignment horizontal="right" vertical="center"/>
      <protection locked="0"/>
    </xf>
    <xf numFmtId="3" fontId="91" fillId="0" borderId="194" xfId="10" applyNumberFormat="1" applyFont="1" applyFill="1" applyBorder="1" applyAlignment="1" applyProtection="1">
      <alignment horizontal="right" vertical="center"/>
      <protection locked="0"/>
    </xf>
    <xf numFmtId="10" fontId="91" fillId="0" borderId="194" xfId="10" applyNumberFormat="1" applyFont="1" applyFill="1" applyBorder="1" applyAlignment="1" applyProtection="1">
      <alignment horizontal="right" vertical="center"/>
      <protection locked="0"/>
    </xf>
    <xf numFmtId="49" fontId="88" fillId="14" borderId="19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9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9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9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9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98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199" xfId="10" applyNumberFormat="1" applyFont="1" applyFill="1" applyBorder="1" applyAlignment="1" applyProtection="1">
      <alignment horizontal="right" vertical="center"/>
      <protection locked="0"/>
    </xf>
    <xf numFmtId="10" fontId="88" fillId="0" borderId="199" xfId="10" applyNumberFormat="1" applyFont="1" applyFill="1" applyBorder="1" applyAlignment="1" applyProtection="1">
      <alignment horizontal="right" vertical="center"/>
      <protection locked="0"/>
    </xf>
    <xf numFmtId="49" fontId="88" fillId="14" borderId="20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0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9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75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17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02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204" xfId="10" applyNumberFormat="1" applyFont="1" applyFill="1" applyBorder="1" applyAlignment="1" applyProtection="1">
      <alignment horizontal="right" vertical="center"/>
      <protection locked="0"/>
    </xf>
    <xf numFmtId="10" fontId="88" fillId="0" borderId="204" xfId="10" applyNumberFormat="1" applyFont="1" applyFill="1" applyBorder="1" applyAlignment="1" applyProtection="1">
      <alignment horizontal="right" vertical="center"/>
      <protection locked="0"/>
    </xf>
    <xf numFmtId="3" fontId="91" fillId="0" borderId="204" xfId="10" applyNumberFormat="1" applyFont="1" applyFill="1" applyBorder="1" applyAlignment="1" applyProtection="1">
      <alignment horizontal="right" vertical="center"/>
      <protection locked="0"/>
    </xf>
    <xf numFmtId="10" fontId="91" fillId="0" borderId="204" xfId="10" applyNumberFormat="1" applyFont="1" applyFill="1" applyBorder="1" applyAlignment="1" applyProtection="1">
      <alignment horizontal="right" vertical="center"/>
      <protection locked="0"/>
    </xf>
    <xf numFmtId="49" fontId="88" fillId="0" borderId="20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0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0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0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0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0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1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10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30" xfId="10" applyNumberFormat="1" applyFont="1" applyFill="1" applyBorder="1" applyAlignment="1" applyProtection="1">
      <alignment horizontal="right" vertical="center"/>
      <protection locked="0"/>
    </xf>
    <xf numFmtId="49" fontId="88" fillId="14" borderId="21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12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1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211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77" xfId="10" applyNumberFormat="1" applyFont="1" applyFill="1" applyBorder="1" applyAlignment="1" applyProtection="1">
      <alignment horizontal="right" vertical="center"/>
      <protection locked="0"/>
    </xf>
    <xf numFmtId="3" fontId="88" fillId="0" borderId="218" xfId="10" applyNumberFormat="1" applyFont="1" applyFill="1" applyBorder="1" applyAlignment="1" applyProtection="1">
      <alignment horizontal="right" vertical="center"/>
      <protection locked="0"/>
    </xf>
    <xf numFmtId="10" fontId="88" fillId="0" borderId="218" xfId="10" applyNumberFormat="1" applyFont="1" applyFill="1" applyBorder="1" applyAlignment="1" applyProtection="1">
      <alignment horizontal="right" vertical="center"/>
      <protection locked="0"/>
    </xf>
    <xf numFmtId="49" fontId="88" fillId="14" borderId="21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20" xfId="10" applyNumberFormat="1" applyFont="1" applyFill="1" applyBorder="1" applyAlignment="1" applyProtection="1">
      <alignment horizontal="left" vertical="center" wrapText="1"/>
      <protection locked="0"/>
    </xf>
    <xf numFmtId="10" fontId="89" fillId="4" borderId="8" xfId="10" applyNumberFormat="1" applyFont="1" applyFill="1" applyBorder="1" applyAlignment="1" applyProtection="1">
      <alignment horizontal="right" vertical="center"/>
      <protection locked="0"/>
    </xf>
    <xf numFmtId="49" fontId="88" fillId="14" borderId="22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2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2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2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2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28" xfId="10" applyNumberFormat="1" applyFont="1" applyFill="1" applyBorder="1" applyAlignment="1" applyProtection="1">
      <alignment horizontal="left" vertical="center" wrapText="1"/>
      <protection locked="0"/>
    </xf>
    <xf numFmtId="3" fontId="88" fillId="4" borderId="218" xfId="10" applyNumberFormat="1" applyFont="1" applyFill="1" applyBorder="1" applyAlignment="1" applyProtection="1">
      <alignment horizontal="right" vertical="center"/>
      <protection locked="0"/>
    </xf>
    <xf numFmtId="10" fontId="88" fillId="4" borderId="218" xfId="10" applyNumberFormat="1" applyFont="1" applyFill="1" applyBorder="1" applyAlignment="1" applyProtection="1">
      <alignment horizontal="right" vertical="center"/>
      <protection locked="0"/>
    </xf>
    <xf numFmtId="3" fontId="88" fillId="4" borderId="0" xfId="10" applyNumberFormat="1" applyFont="1" applyFill="1" applyBorder="1" applyAlignment="1" applyProtection="1">
      <alignment horizontal="center" vertical="center"/>
      <protection locked="0"/>
    </xf>
    <xf numFmtId="49" fontId="88" fillId="18" borderId="22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29" xfId="10" applyNumberFormat="1" applyFont="1" applyFill="1" applyBorder="1" applyAlignment="1" applyProtection="1">
      <alignment horizontal="center" vertical="center" wrapText="1"/>
      <protection locked="0"/>
    </xf>
    <xf numFmtId="49" fontId="61" fillId="18" borderId="230" xfId="10" applyNumberFormat="1" applyFont="1" applyFill="1" applyBorder="1" applyAlignment="1" applyProtection="1">
      <alignment horizontal="center" vertical="center" wrapText="1"/>
      <protection locked="0"/>
    </xf>
    <xf numFmtId="49" fontId="61" fillId="18" borderId="23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2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21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3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2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17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7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33" xfId="10" applyNumberFormat="1" applyFont="1" applyFill="1" applyBorder="1" applyAlignment="1" applyProtection="1">
      <alignment horizontal="center" vertical="center" wrapText="1"/>
      <protection locked="0"/>
    </xf>
    <xf numFmtId="10" fontId="89" fillId="4" borderId="95" xfId="10" applyNumberFormat="1" applyFont="1" applyFill="1" applyBorder="1" applyAlignment="1" applyProtection="1">
      <alignment horizontal="right" vertical="center"/>
      <protection locked="0"/>
    </xf>
    <xf numFmtId="49" fontId="88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34" xfId="10" applyNumberFormat="1" applyFont="1" applyFill="1" applyBorder="1" applyAlignment="1" applyProtection="1">
      <alignment horizontal="left" vertical="center" wrapText="1"/>
      <protection locked="0"/>
    </xf>
    <xf numFmtId="3" fontId="88" fillId="4" borderId="65" xfId="10" applyNumberFormat="1" applyFont="1" applyFill="1" applyBorder="1" applyAlignment="1" applyProtection="1">
      <alignment horizontal="right" vertical="center"/>
      <protection locked="0"/>
    </xf>
    <xf numFmtId="10" fontId="88" fillId="4" borderId="65" xfId="10" applyNumberFormat="1" applyFont="1" applyFill="1" applyBorder="1" applyAlignment="1" applyProtection="1">
      <alignment horizontal="right" vertical="center"/>
      <protection locked="0"/>
    </xf>
    <xf numFmtId="49" fontId="88" fillId="0" borderId="221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222" xfId="10" applyNumberFormat="1" applyFont="1" applyFill="1" applyBorder="1" applyAlignment="1" applyProtection="1">
      <alignment horizontal="center" vertical="center" wrapText="1"/>
      <protection locked="0"/>
    </xf>
    <xf numFmtId="3" fontId="89" fillId="0" borderId="237" xfId="10" applyNumberFormat="1" applyFont="1" applyFill="1" applyBorder="1" applyAlignment="1" applyProtection="1">
      <alignment horizontal="right" vertical="center"/>
      <protection locked="0"/>
    </xf>
    <xf numFmtId="10" fontId="89" fillId="0" borderId="237" xfId="10" applyNumberFormat="1" applyFont="1" applyFill="1" applyBorder="1" applyAlignment="1" applyProtection="1">
      <alignment horizontal="right" vertical="center"/>
      <protection locked="0"/>
    </xf>
    <xf numFmtId="3" fontId="88" fillId="0" borderId="237" xfId="10" applyNumberFormat="1" applyFont="1" applyFill="1" applyBorder="1" applyAlignment="1" applyProtection="1">
      <alignment horizontal="right" vertical="center"/>
      <protection locked="0"/>
    </xf>
    <xf numFmtId="10" fontId="88" fillId="0" borderId="237" xfId="10" applyNumberFormat="1" applyFont="1" applyFill="1" applyBorder="1" applyAlignment="1" applyProtection="1">
      <alignment horizontal="right" vertical="center"/>
      <protection locked="0"/>
    </xf>
    <xf numFmtId="49" fontId="88" fillId="14" borderId="23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3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4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4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42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44" xfId="10" applyNumberFormat="1" applyFont="1" applyFill="1" applyBorder="1" applyAlignment="1" applyProtection="1">
      <alignment horizontal="center" vertical="center" wrapText="1"/>
      <protection locked="0"/>
    </xf>
    <xf numFmtId="3" fontId="91" fillId="0" borderId="0" xfId="10" applyNumberFormat="1" applyFont="1" applyFill="1" applyBorder="1" applyAlignment="1" applyProtection="1">
      <alignment horizontal="center" vertical="center"/>
      <protection locked="0"/>
    </xf>
    <xf numFmtId="49" fontId="88" fillId="14" borderId="24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4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4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47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250" xfId="10" applyNumberFormat="1" applyFont="1" applyFill="1" applyBorder="1" applyAlignment="1" applyProtection="1">
      <alignment horizontal="right" vertical="center"/>
      <protection locked="0"/>
    </xf>
    <xf numFmtId="3" fontId="89" fillId="0" borderId="253" xfId="10" applyNumberFormat="1" applyFont="1" applyFill="1" applyBorder="1" applyAlignment="1" applyProtection="1">
      <alignment horizontal="right" vertical="center"/>
      <protection locked="0"/>
    </xf>
    <xf numFmtId="49" fontId="88" fillId="14" borderId="80" xfId="10" applyNumberFormat="1" applyFont="1" applyFill="1" applyBorder="1" applyAlignment="1" applyProtection="1">
      <alignment vertical="center" wrapText="1"/>
      <protection locked="0"/>
    </xf>
    <xf numFmtId="49" fontId="88" fillId="14" borderId="256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257" xfId="10" applyNumberFormat="1" applyFont="1" applyFill="1" applyBorder="1" applyAlignment="1" applyProtection="1">
      <alignment horizontal="right" vertical="center"/>
      <protection locked="0"/>
    </xf>
    <xf numFmtId="10" fontId="88" fillId="0" borderId="257" xfId="10" applyNumberFormat="1" applyFont="1" applyFill="1" applyBorder="1" applyAlignment="1" applyProtection="1">
      <alignment horizontal="right" vertical="center"/>
      <protection locked="0"/>
    </xf>
    <xf numFmtId="2" fontId="88" fillId="0" borderId="247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258" xfId="10" applyNumberFormat="1" applyFont="1" applyFill="1" applyBorder="1" applyAlignment="1" applyProtection="1">
      <alignment horizontal="right" vertical="center"/>
      <protection locked="0"/>
    </xf>
    <xf numFmtId="10" fontId="88" fillId="0" borderId="258" xfId="10" applyNumberFormat="1" applyFont="1" applyFill="1" applyBorder="1" applyAlignment="1" applyProtection="1">
      <alignment horizontal="right" vertical="center"/>
      <protection locked="0"/>
    </xf>
    <xf numFmtId="2" fontId="88" fillId="0" borderId="108" xfId="10" applyNumberFormat="1" applyFont="1" applyFill="1" applyBorder="1" applyAlignment="1" applyProtection="1">
      <alignment horizontal="left" vertical="center" wrapText="1"/>
      <protection locked="0"/>
    </xf>
    <xf numFmtId="2" fontId="88" fillId="0" borderId="217" xfId="10" applyNumberFormat="1" applyFont="1" applyFill="1" applyBorder="1" applyAlignment="1" applyProtection="1">
      <alignment horizontal="left" vertical="center" wrapText="1"/>
      <protection locked="0"/>
    </xf>
    <xf numFmtId="2" fontId="88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9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4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5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52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6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6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6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67" xfId="10" applyNumberFormat="1" applyFont="1" applyFill="1" applyBorder="1" applyAlignment="1" applyProtection="1">
      <alignment horizontal="left" vertical="center" wrapText="1"/>
      <protection locked="0"/>
    </xf>
    <xf numFmtId="3" fontId="91" fillId="0" borderId="257" xfId="10" applyNumberFormat="1" applyFont="1" applyFill="1" applyBorder="1" applyAlignment="1" applyProtection="1">
      <alignment horizontal="right" vertical="center"/>
      <protection locked="0"/>
    </xf>
    <xf numFmtId="10" fontId="91" fillId="0" borderId="257" xfId="10" applyNumberFormat="1" applyFont="1" applyFill="1" applyBorder="1" applyAlignment="1" applyProtection="1">
      <alignment horizontal="right" vertical="center"/>
      <protection locked="0"/>
    </xf>
    <xf numFmtId="49" fontId="88" fillId="14" borderId="268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253" xfId="10" applyNumberFormat="1" applyFont="1" applyFill="1" applyBorder="1" applyAlignment="1" applyProtection="1">
      <alignment horizontal="right" vertical="center"/>
      <protection locked="0"/>
    </xf>
    <xf numFmtId="49" fontId="88" fillId="14" borderId="163" xfId="10" applyNumberFormat="1" applyFont="1" applyFill="1" applyBorder="1" applyAlignment="1" applyProtection="1">
      <alignment horizontal="center" vertical="center" wrapText="1"/>
      <protection locked="0"/>
    </xf>
    <xf numFmtId="49" fontId="89" fillId="18" borderId="76" xfId="10" applyNumberFormat="1" applyFont="1" applyFill="1" applyBorder="1" applyAlignment="1" applyProtection="1">
      <alignment horizontal="center" vertical="center" wrapText="1"/>
      <protection locked="0"/>
    </xf>
    <xf numFmtId="3" fontId="89" fillId="4" borderId="9" xfId="10" applyNumberFormat="1" applyFont="1" applyFill="1" applyBorder="1" applyAlignment="1" applyProtection="1">
      <alignment horizontal="right" vertical="center"/>
      <protection locked="0"/>
    </xf>
    <xf numFmtId="10" fontId="89" fillId="4" borderId="9" xfId="10" applyNumberFormat="1" applyFont="1" applyFill="1" applyBorder="1" applyAlignment="1" applyProtection="1">
      <alignment horizontal="right" vertical="center"/>
      <protection locked="0"/>
    </xf>
    <xf numFmtId="49" fontId="89" fillId="0" borderId="7" xfId="10" applyNumberFormat="1" applyFont="1" applyFill="1" applyBorder="1" applyAlignment="1" applyProtection="1">
      <alignment horizontal="center" vertical="center" wrapText="1"/>
      <protection locked="0"/>
    </xf>
    <xf numFmtId="3" fontId="88" fillId="4" borderId="237" xfId="10" applyNumberFormat="1" applyFont="1" applyFill="1" applyBorder="1" applyAlignment="1" applyProtection="1">
      <alignment horizontal="right" vertical="center"/>
      <protection locked="0"/>
    </xf>
    <xf numFmtId="10" fontId="88" fillId="4" borderId="237" xfId="10" applyNumberFormat="1" applyFont="1" applyFill="1" applyBorder="1" applyAlignment="1" applyProtection="1">
      <alignment horizontal="right" vertical="center"/>
      <protection locked="0"/>
    </xf>
    <xf numFmtId="49" fontId="89" fillId="0" borderId="6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7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9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73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244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24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240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247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274" xfId="10" applyNumberFormat="1" applyFont="1" applyFill="1" applyBorder="1" applyAlignment="1" applyProtection="1">
      <alignment horizontal="right" vertical="center"/>
      <protection locked="0"/>
    </xf>
    <xf numFmtId="10" fontId="88" fillId="0" borderId="274" xfId="10" applyNumberFormat="1" applyFont="1" applyFill="1" applyBorder="1" applyAlignment="1" applyProtection="1">
      <alignment horizontal="right" vertical="center"/>
      <protection locked="0"/>
    </xf>
    <xf numFmtId="10" fontId="89" fillId="0" borderId="274" xfId="10" applyNumberFormat="1" applyFont="1" applyFill="1" applyBorder="1" applyAlignment="1" applyProtection="1">
      <alignment horizontal="right" vertical="center"/>
      <protection locked="0"/>
    </xf>
    <xf numFmtId="3" fontId="88" fillId="0" borderId="274" xfId="10" applyNumberFormat="1" applyFont="1" applyFill="1" applyBorder="1" applyAlignment="1" applyProtection="1">
      <alignment vertical="center"/>
      <protection locked="0"/>
    </xf>
    <xf numFmtId="49" fontId="88" fillId="18" borderId="277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278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279" xfId="10" applyNumberFormat="1" applyFont="1" applyFill="1" applyBorder="1" applyAlignment="1" applyProtection="1">
      <alignment horizontal="center" vertical="center" wrapText="1"/>
      <protection locked="0"/>
    </xf>
    <xf numFmtId="49" fontId="61" fillId="0" borderId="280" xfId="0" applyNumberFormat="1" applyFont="1" applyBorder="1" applyAlignment="1">
      <alignment vertical="center" wrapText="1"/>
    </xf>
    <xf numFmtId="49" fontId="88" fillId="18" borderId="281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282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8" xfId="10" applyNumberFormat="1" applyFont="1" applyFill="1" applyBorder="1" applyAlignment="1" applyProtection="1">
      <alignment vertical="center"/>
      <protection locked="0"/>
    </xf>
    <xf numFmtId="3" fontId="88" fillId="0" borderId="194" xfId="10" applyNumberFormat="1" applyFont="1" applyFill="1" applyBorder="1" applyAlignment="1" applyProtection="1">
      <alignment vertical="center"/>
      <protection locked="0"/>
    </xf>
    <xf numFmtId="49" fontId="88" fillId="18" borderId="148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217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0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0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7" xfId="10" applyNumberFormat="1" applyFont="1" applyFill="1" applyBorder="1" applyAlignment="1" applyProtection="1">
      <alignment vertical="center"/>
      <protection locked="0"/>
    </xf>
    <xf numFmtId="49" fontId="88" fillId="14" borderId="28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80" xfId="10" applyNumberFormat="1" applyFont="1" applyFill="1" applyBorder="1" applyAlignment="1" applyProtection="1">
      <alignment horizontal="left" vertical="center" wrapText="1"/>
      <protection locked="0"/>
    </xf>
    <xf numFmtId="3" fontId="88" fillId="19" borderId="0" xfId="10" applyNumberFormat="1" applyFont="1" applyFill="1" applyBorder="1" applyAlignment="1" applyProtection="1">
      <alignment horizontal="center" vertical="center"/>
      <protection locked="0"/>
    </xf>
    <xf numFmtId="49" fontId="88" fillId="0" borderId="28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8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86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289" xfId="10" applyNumberFormat="1" applyFont="1" applyFill="1" applyBorder="1" applyAlignment="1" applyProtection="1">
      <alignment horizontal="right" vertical="center"/>
      <protection locked="0"/>
    </xf>
    <xf numFmtId="10" fontId="88" fillId="0" borderId="289" xfId="10" applyNumberFormat="1" applyFont="1" applyFill="1" applyBorder="1" applyAlignment="1" applyProtection="1">
      <alignment horizontal="right" vertical="center"/>
      <protection locked="0"/>
    </xf>
    <xf numFmtId="3" fontId="89" fillId="0" borderId="194" xfId="10" applyNumberFormat="1" applyFont="1" applyFill="1" applyBorder="1" applyAlignment="1" applyProtection="1">
      <alignment vertical="center"/>
      <protection locked="0"/>
    </xf>
    <xf numFmtId="10" fontId="89" fillId="0" borderId="194" xfId="10" applyNumberFormat="1" applyFont="1" applyFill="1" applyBorder="1" applyAlignment="1" applyProtection="1">
      <alignment horizontal="right" vertical="center"/>
      <protection locked="0"/>
    </xf>
    <xf numFmtId="49" fontId="88" fillId="18" borderId="292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293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289" xfId="10" applyNumberFormat="1" applyFont="1" applyFill="1" applyBorder="1" applyAlignment="1" applyProtection="1">
      <alignment vertical="center"/>
      <protection locked="0"/>
    </xf>
    <xf numFmtId="49" fontId="88" fillId="14" borderId="29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9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91" xfId="10" applyNumberFormat="1" applyFont="1" applyFill="1" applyBorder="1" applyAlignment="1" applyProtection="1">
      <alignment horizontal="center" vertical="center" wrapText="1"/>
      <protection locked="0"/>
    </xf>
    <xf numFmtId="3" fontId="97" fillId="0" borderId="297" xfId="19" applyNumberFormat="1" applyFont="1" applyFill="1" applyBorder="1" applyAlignment="1">
      <alignment horizontal="right" vertical="center"/>
    </xf>
    <xf numFmtId="49" fontId="88" fillId="14" borderId="29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9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9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92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33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300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291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292" xfId="10" applyNumberFormat="1" applyFont="1" applyFill="1" applyBorder="1" applyAlignment="1" applyProtection="1">
      <alignment horizontal="center" vertical="center" wrapText="1"/>
      <protection locked="0"/>
    </xf>
    <xf numFmtId="10" fontId="88" fillId="14" borderId="194" xfId="10" applyNumberFormat="1" applyFont="1" applyFill="1" applyBorder="1" applyAlignment="1" applyProtection="1">
      <alignment horizontal="right" vertical="center" wrapText="1"/>
      <protection locked="0"/>
    </xf>
    <xf numFmtId="3" fontId="89" fillId="0" borderId="194" xfId="10" applyNumberFormat="1" applyFont="1" applyFill="1" applyBorder="1" applyAlignment="1" applyProtection="1">
      <alignment horizontal="right" vertical="center"/>
      <protection locked="0"/>
    </xf>
    <xf numFmtId="49" fontId="88" fillId="0" borderId="8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7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77" xfId="0" applyBorder="1" applyAlignment="1">
      <alignment vertical="center"/>
    </xf>
    <xf numFmtId="0" fontId="0" fillId="0" borderId="8" xfId="0" applyBorder="1" applyAlignment="1">
      <alignment vertical="center"/>
    </xf>
    <xf numFmtId="10" fontId="0" fillId="0" borderId="8" xfId="0" applyNumberFormat="1" applyBorder="1" applyAlignment="1">
      <alignment horizontal="right" vertical="center"/>
    </xf>
    <xf numFmtId="49" fontId="88" fillId="14" borderId="294" xfId="10" applyNumberFormat="1" applyFont="1" applyFill="1" applyBorder="1" applyAlignment="1" applyProtection="1">
      <alignment horizontal="center" vertical="center" wrapText="1"/>
      <protection locked="0"/>
    </xf>
    <xf numFmtId="0" fontId="61" fillId="0" borderId="29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9" fontId="88" fillId="0" borderId="111" xfId="10" applyNumberFormat="1" applyFont="1" applyFill="1" applyBorder="1" applyAlignment="1" applyProtection="1">
      <alignment horizontal="center" vertical="center" wrapText="1"/>
      <protection locked="0"/>
    </xf>
    <xf numFmtId="3" fontId="88" fillId="4" borderId="289" xfId="10" applyNumberFormat="1" applyFont="1" applyFill="1" applyBorder="1" applyAlignment="1" applyProtection="1">
      <alignment horizontal="right" vertical="center"/>
      <protection locked="0"/>
    </xf>
    <xf numFmtId="10" fontId="88" fillId="4" borderId="289" xfId="10" applyNumberFormat="1" applyFont="1" applyFill="1" applyBorder="1" applyAlignment="1" applyProtection="1">
      <alignment horizontal="right" vertical="center"/>
      <protection locked="0"/>
    </xf>
    <xf numFmtId="49" fontId="88" fillId="14" borderId="29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0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0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04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302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294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305" xfId="10" applyNumberFormat="1" applyFont="1" applyFill="1" applyBorder="1" applyAlignment="1" applyProtection="1">
      <alignment horizontal="right" vertical="center"/>
      <protection locked="0"/>
    </xf>
    <xf numFmtId="10" fontId="88" fillId="0" borderId="305" xfId="10" applyNumberFormat="1" applyFont="1" applyFill="1" applyBorder="1" applyAlignment="1" applyProtection="1">
      <alignment horizontal="right" vertical="center"/>
      <protection locked="0"/>
    </xf>
    <xf numFmtId="49" fontId="88" fillId="14" borderId="30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0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08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30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09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30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09" xfId="10" applyNumberFormat="1" applyFont="1" applyFill="1" applyBorder="1" applyAlignment="1" applyProtection="1">
      <alignment vertical="center" wrapText="1"/>
      <protection locked="0"/>
    </xf>
    <xf numFmtId="10" fontId="88" fillId="14" borderId="305" xfId="10" applyNumberFormat="1" applyFont="1" applyFill="1" applyBorder="1" applyAlignment="1" applyProtection="1">
      <alignment horizontal="right" vertical="center" wrapText="1"/>
      <protection locked="0"/>
    </xf>
    <xf numFmtId="3" fontId="89" fillId="0" borderId="305" xfId="10" applyNumberFormat="1" applyFont="1" applyFill="1" applyBorder="1" applyAlignment="1" applyProtection="1">
      <alignment vertical="center"/>
      <protection locked="0"/>
    </xf>
    <xf numFmtId="10" fontId="89" fillId="0" borderId="305" xfId="10" applyNumberFormat="1" applyFont="1" applyFill="1" applyBorder="1" applyAlignment="1" applyProtection="1">
      <alignment horizontal="right" vertical="center"/>
      <protection locked="0"/>
    </xf>
    <xf numFmtId="3" fontId="88" fillId="0" borderId="305" xfId="10" applyNumberFormat="1" applyFont="1" applyFill="1" applyBorder="1" applyAlignment="1" applyProtection="1">
      <alignment vertical="center"/>
      <protection locked="0"/>
    </xf>
    <xf numFmtId="3" fontId="91" fillId="0" borderId="305" xfId="10" applyNumberFormat="1" applyFont="1" applyFill="1" applyBorder="1" applyAlignment="1" applyProtection="1">
      <alignment horizontal="right" vertical="center"/>
      <protection locked="0"/>
    </xf>
    <xf numFmtId="10" fontId="91" fillId="0" borderId="305" xfId="10" applyNumberFormat="1" applyFont="1" applyFill="1" applyBorder="1" applyAlignment="1" applyProtection="1">
      <alignment horizontal="right" vertical="center"/>
      <protection locked="0"/>
    </xf>
    <xf numFmtId="3" fontId="88" fillId="0" borderId="311" xfId="10" applyNumberFormat="1" applyFont="1" applyFill="1" applyBorder="1" applyAlignment="1" applyProtection="1">
      <alignment horizontal="right" vertical="center"/>
      <protection locked="0"/>
    </xf>
    <xf numFmtId="49" fontId="88" fillId="14" borderId="31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13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65" xfId="10" applyNumberFormat="1" applyFont="1" applyFill="1" applyBorder="1" applyAlignment="1" applyProtection="1">
      <alignment vertical="center"/>
      <protection locked="0"/>
    </xf>
    <xf numFmtId="3" fontId="89" fillId="7" borderId="1" xfId="10" applyNumberFormat="1" applyFont="1" applyFill="1" applyBorder="1" applyAlignment="1" applyProtection="1">
      <alignment vertical="center"/>
      <protection locked="0"/>
    </xf>
    <xf numFmtId="49" fontId="88" fillId="14" borderId="290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311" xfId="10" applyNumberFormat="1" applyFont="1" applyFill="1" applyBorder="1" applyAlignment="1" applyProtection="1">
      <alignment vertical="center"/>
      <protection locked="0"/>
    </xf>
    <xf numFmtId="10" fontId="88" fillId="0" borderId="311" xfId="10" applyNumberFormat="1" applyFont="1" applyFill="1" applyBorder="1" applyAlignment="1" applyProtection="1">
      <alignment horizontal="right" vertical="center"/>
      <protection locked="0"/>
    </xf>
    <xf numFmtId="49" fontId="88" fillId="14" borderId="31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15" xfId="10" applyNumberFormat="1" applyFont="1" applyFill="1" applyBorder="1" applyAlignment="1" applyProtection="1">
      <alignment horizontal="left" vertical="center" wrapText="1"/>
      <protection locked="0"/>
    </xf>
    <xf numFmtId="3" fontId="95" fillId="17" borderId="1" xfId="10" applyNumberFormat="1" applyFont="1" applyFill="1" applyBorder="1" applyAlignment="1" applyProtection="1">
      <alignment vertical="center"/>
      <protection locked="0"/>
    </xf>
    <xf numFmtId="3" fontId="89" fillId="0" borderId="2" xfId="10" applyNumberFormat="1" applyFont="1" applyFill="1" applyBorder="1" applyAlignment="1" applyProtection="1">
      <alignment vertical="center"/>
      <protection locked="0"/>
    </xf>
    <xf numFmtId="3" fontId="88" fillId="0" borderId="317" xfId="10" applyNumberFormat="1" applyFont="1" applyFill="1" applyBorder="1" applyAlignment="1" applyProtection="1">
      <alignment vertical="center"/>
      <protection locked="0"/>
    </xf>
    <xf numFmtId="10" fontId="88" fillId="0" borderId="317" xfId="10" applyNumberFormat="1" applyFont="1" applyFill="1" applyBorder="1" applyAlignment="1" applyProtection="1">
      <alignment horizontal="right" vertical="center"/>
      <protection locked="0"/>
    </xf>
    <xf numFmtId="3" fontId="91" fillId="0" borderId="317" xfId="10" applyNumberFormat="1" applyFont="1" applyFill="1" applyBorder="1" applyAlignment="1" applyProtection="1">
      <alignment horizontal="right" vertical="center"/>
      <protection locked="0"/>
    </xf>
    <xf numFmtId="10" fontId="91" fillId="0" borderId="317" xfId="10" applyNumberFormat="1" applyFont="1" applyFill="1" applyBorder="1" applyAlignment="1" applyProtection="1">
      <alignment horizontal="right" vertical="center"/>
      <protection locked="0"/>
    </xf>
    <xf numFmtId="3" fontId="88" fillId="0" borderId="317" xfId="10" applyNumberFormat="1" applyFont="1" applyFill="1" applyBorder="1" applyAlignment="1" applyProtection="1">
      <alignment horizontal="right" vertical="center"/>
      <protection locked="0"/>
    </xf>
    <xf numFmtId="49" fontId="88" fillId="14" borderId="31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19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320" xfId="10" applyNumberFormat="1" applyFont="1" applyFill="1" applyBorder="1" applyAlignment="1" applyProtection="1">
      <alignment horizontal="right" vertical="center"/>
      <protection locked="0"/>
    </xf>
    <xf numFmtId="49" fontId="88" fillId="14" borderId="32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22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323" xfId="10" applyNumberFormat="1" applyFont="1" applyFill="1" applyBorder="1" applyAlignment="1" applyProtection="1">
      <alignment vertical="center"/>
      <protection locked="0"/>
    </xf>
    <xf numFmtId="10" fontId="88" fillId="0" borderId="324" xfId="10" applyNumberFormat="1" applyFont="1" applyFill="1" applyBorder="1" applyAlignment="1" applyProtection="1">
      <alignment horizontal="right" vertical="center"/>
      <protection locked="0"/>
    </xf>
    <xf numFmtId="49" fontId="88" fillId="14" borderId="32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26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323" xfId="10" applyNumberFormat="1" applyFont="1" applyFill="1" applyBorder="1" applyAlignment="1" applyProtection="1">
      <alignment horizontal="right" vertical="center"/>
      <protection locked="0"/>
    </xf>
    <xf numFmtId="49" fontId="88" fillId="14" borderId="328" xfId="10" applyNumberFormat="1" applyFont="1" applyFill="1" applyBorder="1" applyAlignment="1" applyProtection="1">
      <alignment horizontal="left" vertical="center" wrapText="1"/>
      <protection locked="0"/>
    </xf>
    <xf numFmtId="49" fontId="95" fillId="17" borderId="1" xfId="10" applyNumberFormat="1" applyFont="1" applyFill="1" applyBorder="1" applyAlignment="1" applyProtection="1">
      <alignment horizontal="center" vertical="center" wrapText="1"/>
      <protection locked="0"/>
    </xf>
    <xf numFmtId="49" fontId="95" fillId="17" borderId="127" xfId="10" applyNumberFormat="1" applyFont="1" applyFill="1" applyBorder="1" applyAlignment="1" applyProtection="1">
      <alignment horizontal="center" vertical="center" wrapText="1"/>
      <protection locked="0"/>
    </xf>
    <xf numFmtId="49" fontId="95" fillId="17" borderId="128" xfId="10" applyNumberFormat="1" applyFont="1" applyFill="1" applyBorder="1" applyAlignment="1" applyProtection="1">
      <alignment horizontal="left" vertical="center" wrapText="1"/>
      <protection locked="0"/>
    </xf>
    <xf numFmtId="3" fontId="91" fillId="0" borderId="329" xfId="10" applyNumberFormat="1" applyFont="1" applyFill="1" applyBorder="1" applyAlignment="1" applyProtection="1">
      <alignment horizontal="right" vertical="center"/>
      <protection locked="0"/>
    </xf>
    <xf numFmtId="3" fontId="91" fillId="0" borderId="194" xfId="10" applyNumberFormat="1" applyFont="1" applyFill="1" applyBorder="1" applyAlignment="1" applyProtection="1">
      <alignment vertical="center"/>
      <protection locked="0"/>
    </xf>
    <xf numFmtId="10" fontId="91" fillId="0" borderId="330" xfId="10" applyNumberFormat="1" applyFont="1" applyFill="1" applyBorder="1" applyAlignment="1" applyProtection="1">
      <alignment horizontal="right" vertical="center"/>
      <protection locked="0"/>
    </xf>
    <xf numFmtId="49" fontId="88" fillId="14" borderId="33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16" xfId="10" applyNumberFormat="1" applyFont="1" applyFill="1" applyBorder="1" applyAlignment="1" applyProtection="1">
      <alignment vertical="center" wrapText="1"/>
      <protection locked="0"/>
    </xf>
    <xf numFmtId="49" fontId="88" fillId="14" borderId="332" xfId="10" applyNumberFormat="1" applyFont="1" applyFill="1" applyBorder="1" applyAlignment="1" applyProtection="1">
      <alignment vertical="center" wrapText="1"/>
      <protection locked="0"/>
    </xf>
    <xf numFmtId="3" fontId="88" fillId="0" borderId="333" xfId="10" applyNumberFormat="1" applyFont="1" applyFill="1" applyBorder="1" applyAlignment="1" applyProtection="1">
      <alignment vertical="center"/>
      <protection locked="0"/>
    </xf>
    <xf numFmtId="10" fontId="88" fillId="14" borderId="332" xfId="10" applyNumberFormat="1" applyFont="1" applyFill="1" applyBorder="1" applyAlignment="1" applyProtection="1">
      <alignment horizontal="right" vertical="center" wrapText="1"/>
      <protection locked="0"/>
    </xf>
    <xf numFmtId="3" fontId="88" fillId="0" borderId="332" xfId="10" applyNumberFormat="1" applyFont="1" applyFill="1" applyBorder="1" applyAlignment="1" applyProtection="1">
      <alignment horizontal="right" vertical="center"/>
      <protection locked="0"/>
    </xf>
    <xf numFmtId="10" fontId="88" fillId="0" borderId="332" xfId="10" applyNumberFormat="1" applyFont="1" applyFill="1" applyBorder="1" applyAlignment="1" applyProtection="1">
      <alignment horizontal="right" vertical="center"/>
      <protection locked="0"/>
    </xf>
    <xf numFmtId="49" fontId="88" fillId="14" borderId="33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3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39" xfId="10" applyNumberFormat="1" applyFont="1" applyFill="1" applyBorder="1" applyAlignment="1" applyProtection="1">
      <alignment vertical="center" wrapText="1"/>
      <protection locked="0"/>
    </xf>
    <xf numFmtId="10" fontId="88" fillId="14" borderId="339" xfId="10" applyNumberFormat="1" applyFont="1" applyFill="1" applyBorder="1" applyAlignment="1" applyProtection="1">
      <alignment horizontal="right" vertical="center" wrapText="1"/>
      <protection locked="0"/>
    </xf>
    <xf numFmtId="49" fontId="88" fillId="0" borderId="34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4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42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321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34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44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345" xfId="10" applyNumberFormat="1" applyFont="1" applyFill="1" applyBorder="1" applyAlignment="1" applyProtection="1">
      <alignment vertical="center"/>
      <protection locked="0"/>
    </xf>
    <xf numFmtId="49" fontId="88" fillId="0" borderId="34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47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348" xfId="10" applyNumberFormat="1" applyFont="1" applyFill="1" applyBorder="1" applyAlignment="1" applyProtection="1">
      <alignment vertical="center"/>
      <protection locked="0"/>
    </xf>
    <xf numFmtId="49" fontId="88" fillId="0" borderId="34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50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351" xfId="10" applyNumberFormat="1" applyFont="1" applyFill="1" applyBorder="1" applyAlignment="1" applyProtection="1">
      <alignment vertical="center"/>
      <protection locked="0"/>
    </xf>
    <xf numFmtId="49" fontId="88" fillId="0" borderId="35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53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354" xfId="10" applyNumberFormat="1" applyFont="1" applyFill="1" applyBorder="1" applyAlignment="1" applyProtection="1">
      <alignment horizontal="right" vertical="center"/>
      <protection locked="0"/>
    </xf>
    <xf numFmtId="49" fontId="88" fillId="0" borderId="35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7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355" xfId="10" applyNumberFormat="1" applyFont="1" applyFill="1" applyBorder="1" applyAlignment="1" applyProtection="1">
      <alignment horizontal="right" vertical="center"/>
      <protection locked="0"/>
    </xf>
    <xf numFmtId="3" fontId="88" fillId="0" borderId="356" xfId="10" applyNumberFormat="1" applyFont="1" applyFill="1" applyBorder="1" applyAlignment="1" applyProtection="1">
      <alignment vertical="center"/>
      <protection locked="0"/>
    </xf>
    <xf numFmtId="10" fontId="88" fillId="0" borderId="355" xfId="10" applyNumberFormat="1" applyFont="1" applyFill="1" applyBorder="1" applyAlignment="1" applyProtection="1">
      <alignment horizontal="right" vertical="center"/>
      <protection locked="0"/>
    </xf>
    <xf numFmtId="3" fontId="89" fillId="0" borderId="8" xfId="10" applyNumberFormat="1" applyFont="1" applyFill="1" applyBorder="1" applyAlignment="1" applyProtection="1">
      <alignment vertical="center"/>
      <protection locked="0"/>
    </xf>
    <xf numFmtId="3" fontId="89" fillId="0" borderId="356" xfId="10" applyNumberFormat="1" applyFont="1" applyFill="1" applyBorder="1" applyAlignment="1" applyProtection="1">
      <alignment vertical="center"/>
      <protection locked="0"/>
    </xf>
    <xf numFmtId="10" fontId="88" fillId="0" borderId="356" xfId="10" applyNumberFormat="1" applyFont="1" applyFill="1" applyBorder="1" applyAlignment="1" applyProtection="1">
      <alignment horizontal="right" vertical="center"/>
      <protection locked="0"/>
    </xf>
    <xf numFmtId="49" fontId="88" fillId="14" borderId="35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6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61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35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6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63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351" xfId="10" applyNumberFormat="1" applyFont="1" applyFill="1" applyBorder="1" applyAlignment="1" applyProtection="1">
      <alignment horizontal="right" vertical="center"/>
      <protection locked="0"/>
    </xf>
    <xf numFmtId="3" fontId="88" fillId="0" borderId="364" xfId="10" applyNumberFormat="1" applyFont="1" applyFill="1" applyBorder="1" applyAlignment="1" applyProtection="1">
      <alignment vertical="center"/>
      <protection locked="0"/>
    </xf>
    <xf numFmtId="49" fontId="88" fillId="14" borderId="365" xfId="10" applyNumberFormat="1" applyFont="1" applyFill="1" applyBorder="1" applyAlignment="1" applyProtection="1">
      <alignment horizontal="center" vertical="center" wrapText="1"/>
      <protection locked="0"/>
    </xf>
    <xf numFmtId="10" fontId="88" fillId="0" borderId="345" xfId="10" applyNumberFormat="1" applyFont="1" applyFill="1" applyBorder="1" applyAlignment="1" applyProtection="1">
      <alignment horizontal="right" vertical="center"/>
      <protection locked="0"/>
    </xf>
    <xf numFmtId="2" fontId="88" fillId="0" borderId="36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67" xfId="10" applyNumberFormat="1" applyFont="1" applyFill="1" applyBorder="1" applyAlignment="1" applyProtection="1">
      <alignment horizontal="center" vertical="center" wrapText="1"/>
      <protection locked="0"/>
    </xf>
    <xf numFmtId="2" fontId="88" fillId="0" borderId="36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69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7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70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37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72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372" xfId="10" applyNumberFormat="1" applyFont="1" applyFill="1" applyBorder="1" applyAlignment="1" applyProtection="1">
      <alignment horizontal="center" vertical="center" wrapText="1"/>
      <protection locked="0"/>
    </xf>
    <xf numFmtId="0" fontId="98" fillId="0" borderId="370" xfId="0" applyFont="1" applyFill="1" applyBorder="1" applyAlignment="1">
      <alignment horizontal="left" vertical="center" wrapText="1"/>
    </xf>
    <xf numFmtId="49" fontId="88" fillId="14" borderId="373" xfId="10" applyNumberFormat="1" applyFont="1" applyFill="1" applyBorder="1" applyAlignment="1" applyProtection="1">
      <alignment horizontal="left" vertical="center" wrapText="1"/>
      <protection locked="0"/>
    </xf>
    <xf numFmtId="3" fontId="91" fillId="0" borderId="364" xfId="10" applyNumberFormat="1" applyFont="1" applyFill="1" applyBorder="1" applyAlignment="1" applyProtection="1">
      <alignment horizontal="right" vertical="center"/>
      <protection locked="0"/>
    </xf>
    <xf numFmtId="10" fontId="91" fillId="0" borderId="364" xfId="10" applyNumberFormat="1" applyFont="1" applyFill="1" applyBorder="1" applyAlignment="1" applyProtection="1">
      <alignment horizontal="right" vertical="center"/>
      <protection locked="0"/>
    </xf>
    <xf numFmtId="0" fontId="98" fillId="0" borderId="370" xfId="0" applyFont="1" applyBorder="1" applyAlignment="1">
      <alignment horizontal="left" vertical="center" wrapText="1"/>
    </xf>
    <xf numFmtId="3" fontId="88" fillId="0" borderId="364" xfId="10" applyNumberFormat="1" applyFont="1" applyFill="1" applyBorder="1" applyAlignment="1" applyProtection="1">
      <alignment horizontal="right" vertical="center"/>
      <protection locked="0"/>
    </xf>
    <xf numFmtId="49" fontId="88" fillId="0" borderId="374" xfId="10" applyNumberFormat="1" applyFont="1" applyFill="1" applyBorder="1" applyAlignment="1" applyProtection="1">
      <alignment horizontal="center" vertical="center" wrapText="1"/>
      <protection locked="0"/>
    </xf>
    <xf numFmtId="10" fontId="88" fillId="0" borderId="364" xfId="10" applyNumberFormat="1" applyFont="1" applyFill="1" applyBorder="1" applyAlignment="1" applyProtection="1">
      <alignment horizontal="right" vertical="center"/>
      <protection locked="0"/>
    </xf>
    <xf numFmtId="49" fontId="88" fillId="0" borderId="367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36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75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376" xfId="10" applyNumberFormat="1" applyFont="1" applyFill="1" applyBorder="1" applyAlignment="1" applyProtection="1">
      <alignment horizontal="center" vertical="center" wrapText="1"/>
      <protection locked="0"/>
    </xf>
    <xf numFmtId="10" fontId="89" fillId="8" borderId="81" xfId="10" applyNumberFormat="1" applyFont="1" applyFill="1" applyBorder="1" applyAlignment="1" applyProtection="1">
      <alignment horizontal="right" vertical="center"/>
      <protection locked="0"/>
    </xf>
    <xf numFmtId="10" fontId="95" fillId="17" borderId="4" xfId="10" applyNumberFormat="1" applyFont="1" applyFill="1" applyBorder="1" applyAlignment="1" applyProtection="1">
      <alignment horizontal="right" vertical="center"/>
      <protection locked="0"/>
    </xf>
    <xf numFmtId="3" fontId="89" fillId="0" borderId="7" xfId="10" applyNumberFormat="1" applyFont="1" applyFill="1" applyBorder="1" applyAlignment="1" applyProtection="1">
      <alignment vertical="center"/>
      <protection locked="0"/>
    </xf>
    <xf numFmtId="10" fontId="88" fillId="0" borderId="81" xfId="10" applyNumberFormat="1" applyFont="1" applyFill="1" applyBorder="1" applyAlignment="1" applyProtection="1">
      <alignment horizontal="right" vertical="center"/>
      <protection locked="0"/>
    </xf>
    <xf numFmtId="10" fontId="88" fillId="0" borderId="377" xfId="10" applyNumberFormat="1" applyFont="1" applyFill="1" applyBorder="1" applyAlignment="1" applyProtection="1">
      <alignment horizontal="right" vertical="center"/>
      <protection locked="0"/>
    </xf>
    <xf numFmtId="3" fontId="95" fillId="4" borderId="2" xfId="10" applyNumberFormat="1" applyFont="1" applyFill="1" applyBorder="1" applyAlignment="1" applyProtection="1">
      <alignment horizontal="right" vertical="center"/>
      <protection locked="0"/>
    </xf>
    <xf numFmtId="3" fontId="88" fillId="4" borderId="8" xfId="10" applyNumberFormat="1" applyFont="1" applyFill="1" applyBorder="1" applyAlignment="1" applyProtection="1">
      <alignment horizontal="right" vertical="center"/>
      <protection locked="0"/>
    </xf>
    <xf numFmtId="49" fontId="88" fillId="18" borderId="379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17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8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81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377" xfId="10" applyNumberFormat="1" applyFont="1" applyFill="1" applyBorder="1" applyAlignment="1" applyProtection="1">
      <alignment horizontal="right" vertical="center"/>
      <protection locked="0"/>
    </xf>
    <xf numFmtId="49" fontId="88" fillId="14" borderId="38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83" xfId="10" applyNumberFormat="1" applyFont="1" applyFill="1" applyBorder="1" applyAlignment="1" applyProtection="1">
      <alignment horizontal="left" vertical="center" wrapText="1"/>
      <protection locked="0"/>
    </xf>
    <xf numFmtId="3" fontId="95" fillId="17" borderId="384" xfId="10" applyNumberFormat="1" applyFont="1" applyFill="1" applyBorder="1" applyAlignment="1" applyProtection="1">
      <alignment horizontal="right" vertical="center"/>
      <protection locked="0"/>
    </xf>
    <xf numFmtId="10" fontId="95" fillId="17" borderId="385" xfId="10" applyNumberFormat="1" applyFont="1" applyFill="1" applyBorder="1" applyAlignment="1" applyProtection="1">
      <alignment horizontal="right" vertical="center"/>
      <protection locked="0"/>
    </xf>
    <xf numFmtId="3" fontId="89" fillId="0" borderId="386" xfId="10" applyNumberFormat="1" applyFont="1" applyFill="1" applyBorder="1" applyAlignment="1" applyProtection="1">
      <alignment horizontal="right" vertical="center"/>
      <protection locked="0"/>
    </xf>
    <xf numFmtId="10" fontId="89" fillId="0" borderId="387" xfId="10" applyNumberFormat="1" applyFont="1" applyFill="1" applyBorder="1" applyAlignment="1" applyProtection="1">
      <alignment horizontal="right" vertical="center"/>
      <protection locked="0"/>
    </xf>
    <xf numFmtId="3" fontId="88" fillId="0" borderId="388" xfId="10" applyNumberFormat="1" applyFont="1" applyFill="1" applyBorder="1" applyAlignment="1" applyProtection="1">
      <alignment horizontal="right" vertical="center"/>
      <protection locked="0"/>
    </xf>
    <xf numFmtId="10" fontId="88" fillId="0" borderId="389" xfId="10" applyNumberFormat="1" applyFont="1" applyFill="1" applyBorder="1" applyAlignment="1" applyProtection="1">
      <alignment horizontal="right" vertical="center"/>
      <protection locked="0"/>
    </xf>
    <xf numFmtId="3" fontId="88" fillId="0" borderId="390" xfId="10" applyNumberFormat="1" applyFont="1" applyFill="1" applyBorder="1" applyAlignment="1" applyProtection="1">
      <alignment horizontal="right" vertical="center"/>
      <protection locked="0"/>
    </xf>
    <xf numFmtId="10" fontId="88" fillId="0" borderId="391" xfId="10" applyNumberFormat="1" applyFont="1" applyFill="1" applyBorder="1" applyAlignment="1" applyProtection="1">
      <alignment horizontal="right" vertical="center"/>
      <protection locked="0"/>
    </xf>
    <xf numFmtId="3" fontId="89" fillId="0" borderId="392" xfId="10" applyNumberFormat="1" applyFont="1" applyFill="1" applyBorder="1" applyAlignment="1" applyProtection="1">
      <alignment horizontal="right" vertical="center"/>
      <protection locked="0"/>
    </xf>
    <xf numFmtId="10" fontId="89" fillId="0" borderId="393" xfId="10" applyNumberFormat="1" applyFont="1" applyFill="1" applyBorder="1" applyAlignment="1" applyProtection="1">
      <alignment horizontal="right" vertical="center"/>
      <protection locked="0"/>
    </xf>
    <xf numFmtId="49" fontId="88" fillId="14" borderId="39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95" xfId="10" applyNumberFormat="1" applyFont="1" applyFill="1" applyBorder="1" applyAlignment="1" applyProtection="1">
      <alignment horizontal="left" vertical="center" wrapText="1"/>
      <protection locked="0"/>
    </xf>
    <xf numFmtId="3" fontId="89" fillId="0" borderId="388" xfId="10" applyNumberFormat="1" applyFont="1" applyFill="1" applyBorder="1" applyAlignment="1" applyProtection="1">
      <alignment horizontal="right" vertical="center"/>
      <protection locked="0"/>
    </xf>
    <xf numFmtId="10" fontId="89" fillId="0" borderId="389" xfId="10" applyNumberFormat="1" applyFont="1" applyFill="1" applyBorder="1" applyAlignment="1" applyProtection="1">
      <alignment horizontal="right" vertical="center"/>
      <protection locked="0"/>
    </xf>
    <xf numFmtId="3" fontId="88" fillId="0" borderId="398" xfId="10" applyNumberFormat="1" applyFont="1" applyFill="1" applyBorder="1" applyAlignment="1" applyProtection="1">
      <alignment horizontal="right" vertical="center"/>
      <protection locked="0"/>
    </xf>
    <xf numFmtId="10" fontId="88" fillId="0" borderId="399" xfId="10" applyNumberFormat="1" applyFont="1" applyFill="1" applyBorder="1" applyAlignment="1" applyProtection="1">
      <alignment horizontal="right" vertical="center"/>
      <protection locked="0"/>
    </xf>
    <xf numFmtId="10" fontId="88" fillId="0" borderId="387" xfId="10" applyNumberFormat="1" applyFont="1" applyFill="1" applyBorder="1" applyAlignment="1" applyProtection="1">
      <alignment horizontal="right" vertical="center"/>
      <protection locked="0"/>
    </xf>
    <xf numFmtId="49" fontId="88" fillId="0" borderId="36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10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34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00" xfId="10" applyNumberFormat="1" applyFont="1" applyFill="1" applyBorder="1" applyAlignment="1" applyProtection="1">
      <alignment horizontal="left" vertical="center" wrapText="1"/>
      <protection locked="0"/>
    </xf>
    <xf numFmtId="3" fontId="89" fillId="0" borderId="401" xfId="10" applyNumberFormat="1" applyFont="1" applyFill="1" applyBorder="1" applyAlignment="1" applyProtection="1">
      <alignment horizontal="right" vertical="center"/>
      <protection locked="0"/>
    </xf>
    <xf numFmtId="3" fontId="89" fillId="8" borderId="384" xfId="10" applyNumberFormat="1" applyFont="1" applyFill="1" applyBorder="1" applyAlignment="1" applyProtection="1">
      <alignment horizontal="right" vertical="center"/>
      <protection locked="0"/>
    </xf>
    <xf numFmtId="10" fontId="89" fillId="8" borderId="385" xfId="10" applyNumberFormat="1" applyFont="1" applyFill="1" applyBorder="1" applyAlignment="1" applyProtection="1">
      <alignment horizontal="right" vertical="center"/>
      <protection locked="0"/>
    </xf>
    <xf numFmtId="3" fontId="95" fillId="17" borderId="42" xfId="10" applyNumberFormat="1" applyFont="1" applyFill="1" applyBorder="1" applyAlignment="1" applyProtection="1">
      <alignment horizontal="right" vertical="center"/>
      <protection locked="0"/>
    </xf>
    <xf numFmtId="10" fontId="95" fillId="17" borderId="42" xfId="10" applyNumberFormat="1" applyFont="1" applyFill="1" applyBorder="1" applyAlignment="1" applyProtection="1">
      <alignment horizontal="right" vertical="center"/>
      <protection locked="0"/>
    </xf>
    <xf numFmtId="10" fontId="89" fillId="0" borderId="15" xfId="10" applyNumberFormat="1" applyFont="1" applyFill="1" applyBorder="1" applyAlignment="1" applyProtection="1">
      <alignment horizontal="right" vertical="center"/>
      <protection locked="0"/>
    </xf>
    <xf numFmtId="10" fontId="88" fillId="0" borderId="403" xfId="10" applyNumberFormat="1" applyFont="1" applyFill="1" applyBorder="1" applyAlignment="1" applyProtection="1">
      <alignment horizontal="right" vertical="center"/>
      <protection locked="0"/>
    </xf>
    <xf numFmtId="49" fontId="88" fillId="14" borderId="404" xfId="10" applyNumberFormat="1" applyFont="1" applyFill="1" applyBorder="1" applyAlignment="1" applyProtection="1">
      <alignment horizontal="center" vertical="center" wrapText="1"/>
      <protection locked="0"/>
    </xf>
    <xf numFmtId="10" fontId="88" fillId="0" borderId="405" xfId="10" applyNumberFormat="1" applyFont="1" applyFill="1" applyBorder="1" applyAlignment="1" applyProtection="1">
      <alignment horizontal="right" vertical="center"/>
      <protection locked="0"/>
    </xf>
    <xf numFmtId="3" fontId="95" fillId="17" borderId="6" xfId="10" applyNumberFormat="1" applyFont="1" applyFill="1" applyBorder="1" applyAlignment="1" applyProtection="1">
      <alignment horizontal="right" vertical="center"/>
      <protection locked="0"/>
    </xf>
    <xf numFmtId="49" fontId="88" fillId="0" borderId="76" xfId="10" applyNumberFormat="1" applyFont="1" applyFill="1" applyBorder="1" applyAlignment="1" applyProtection="1">
      <alignment horizontal="center" vertical="center" wrapText="1"/>
      <protection locked="0"/>
    </xf>
    <xf numFmtId="10" fontId="88" fillId="0" borderId="407" xfId="10" applyNumberFormat="1" applyFont="1" applyFill="1" applyBorder="1" applyAlignment="1" applyProtection="1">
      <alignment horizontal="right" vertical="center"/>
      <protection locked="0"/>
    </xf>
    <xf numFmtId="49" fontId="89" fillId="15" borderId="408" xfId="10" applyNumberFormat="1" applyFont="1" applyFill="1" applyBorder="1" applyAlignment="1" applyProtection="1">
      <alignment horizontal="left" vertical="center" wrapText="1"/>
      <protection locked="0"/>
    </xf>
    <xf numFmtId="3" fontId="89" fillId="8" borderId="68" xfId="10" applyNumberFormat="1" applyFont="1" applyFill="1" applyBorder="1" applyAlignment="1" applyProtection="1">
      <alignment horizontal="right" vertical="center"/>
      <protection locked="0"/>
    </xf>
    <xf numFmtId="3" fontId="89" fillId="8" borderId="86" xfId="10" applyNumberFormat="1" applyFont="1" applyFill="1" applyBorder="1" applyAlignment="1" applyProtection="1">
      <alignment horizontal="right" vertical="center"/>
      <protection locked="0"/>
    </xf>
    <xf numFmtId="10" fontId="89" fillId="8" borderId="86" xfId="10" applyNumberFormat="1" applyFont="1" applyFill="1" applyBorder="1" applyAlignment="1" applyProtection="1">
      <alignment horizontal="right" vertical="center"/>
      <protection locked="0"/>
    </xf>
    <xf numFmtId="49" fontId="95" fillId="16" borderId="144" xfId="10" applyNumberFormat="1" applyFont="1" applyFill="1" applyBorder="1" applyAlignment="1" applyProtection="1">
      <alignment horizontal="left" vertical="center" wrapText="1"/>
      <protection locked="0"/>
    </xf>
    <xf numFmtId="3" fontId="95" fillId="17" borderId="4" xfId="10" applyNumberFormat="1" applyFont="1" applyFill="1" applyBorder="1" applyAlignment="1" applyProtection="1">
      <alignment horizontal="right" vertical="center"/>
      <protection locked="0"/>
    </xf>
    <xf numFmtId="3" fontId="89" fillId="0" borderId="16" xfId="10" applyNumberFormat="1" applyFont="1" applyFill="1" applyBorder="1" applyAlignment="1" applyProtection="1">
      <alignment horizontal="right" vertical="center"/>
      <protection locked="0"/>
    </xf>
    <xf numFmtId="3" fontId="89" fillId="0" borderId="15" xfId="10" applyNumberFormat="1" applyFont="1" applyFill="1" applyBorder="1" applyAlignment="1" applyProtection="1">
      <alignment horizontal="right" vertical="center"/>
      <protection locked="0"/>
    </xf>
    <xf numFmtId="3" fontId="88" fillId="0" borderId="330" xfId="10" applyNumberFormat="1" applyFont="1" applyFill="1" applyBorder="1" applyAlignment="1" applyProtection="1">
      <alignment horizontal="right" vertical="center"/>
      <protection locked="0"/>
    </xf>
    <xf numFmtId="3" fontId="88" fillId="0" borderId="403" xfId="10" applyNumberFormat="1" applyFont="1" applyFill="1" applyBorder="1" applyAlignment="1" applyProtection="1">
      <alignment horizontal="right" vertical="center"/>
      <protection locked="0"/>
    </xf>
    <xf numFmtId="3" fontId="91" fillId="0" borderId="330" xfId="10" applyNumberFormat="1" applyFont="1" applyFill="1" applyBorder="1" applyAlignment="1" applyProtection="1">
      <alignment horizontal="right" vertical="center"/>
      <protection locked="0"/>
    </xf>
    <xf numFmtId="3" fontId="91" fillId="0" borderId="403" xfId="10" applyNumberFormat="1" applyFont="1" applyFill="1" applyBorder="1" applyAlignment="1" applyProtection="1">
      <alignment horizontal="right" vertical="center"/>
      <protection locked="0"/>
    </xf>
    <xf numFmtId="10" fontId="91" fillId="0" borderId="403" xfId="10" applyNumberFormat="1" applyFont="1" applyFill="1" applyBorder="1" applyAlignment="1" applyProtection="1">
      <alignment horizontal="right" vertical="center"/>
      <protection locked="0"/>
    </xf>
    <xf numFmtId="49" fontId="88" fillId="14" borderId="410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411" xfId="10" applyNumberFormat="1" applyFont="1" applyFill="1" applyBorder="1" applyAlignment="1" applyProtection="1">
      <alignment horizontal="right" vertical="center"/>
      <protection locked="0"/>
    </xf>
    <xf numFmtId="3" fontId="88" fillId="0" borderId="405" xfId="10" applyNumberFormat="1" applyFont="1" applyFill="1" applyBorder="1" applyAlignment="1" applyProtection="1">
      <alignment horizontal="right" vertical="center"/>
      <protection locked="0"/>
    </xf>
    <xf numFmtId="49" fontId="88" fillId="0" borderId="412" xfId="10" applyNumberFormat="1" applyFont="1" applyFill="1" applyBorder="1" applyAlignment="1" applyProtection="1">
      <alignment vertical="center" wrapText="1"/>
      <protection locked="0"/>
    </xf>
    <xf numFmtId="0" fontId="0" fillId="0" borderId="330" xfId="0" applyBorder="1" applyAlignment="1">
      <alignment vertical="center" wrapText="1"/>
    </xf>
    <xf numFmtId="10" fontId="0" fillId="0" borderId="330" xfId="0" applyNumberFormat="1" applyBorder="1" applyAlignment="1">
      <alignment horizontal="right" vertical="center" wrapText="1"/>
    </xf>
    <xf numFmtId="49" fontId="88" fillId="14" borderId="19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13" xfId="10" applyNumberFormat="1" applyFont="1" applyFill="1" applyBorder="1" applyAlignment="1" applyProtection="1">
      <alignment horizontal="left" vertical="center" wrapText="1"/>
      <protection locked="0"/>
    </xf>
    <xf numFmtId="49" fontId="89" fillId="15" borderId="83" xfId="10" applyNumberFormat="1" applyFont="1" applyFill="1" applyBorder="1" applyAlignment="1" applyProtection="1">
      <alignment horizontal="center" vertical="center" wrapText="1"/>
      <protection locked="0"/>
    </xf>
    <xf numFmtId="49" fontId="89" fillId="15" borderId="84" xfId="10" applyNumberFormat="1" applyFont="1" applyFill="1" applyBorder="1" applyAlignment="1" applyProtection="1">
      <alignment horizontal="left" vertical="center" wrapText="1"/>
      <protection locked="0"/>
    </xf>
    <xf numFmtId="49" fontId="95" fillId="16" borderId="9" xfId="10" applyNumberFormat="1" applyFont="1" applyFill="1" applyBorder="1" applyAlignment="1" applyProtection="1">
      <alignment horizontal="center" vertical="center" wrapText="1"/>
      <protection locked="0"/>
    </xf>
    <xf numFmtId="3" fontId="95" fillId="17" borderId="9" xfId="10" applyNumberFormat="1" applyFont="1" applyFill="1" applyBorder="1" applyAlignment="1" applyProtection="1">
      <alignment horizontal="right" vertical="center"/>
      <protection locked="0"/>
    </xf>
    <xf numFmtId="10" fontId="95" fillId="17" borderId="9" xfId="10" applyNumberFormat="1" applyFont="1" applyFill="1" applyBorder="1" applyAlignment="1" applyProtection="1">
      <alignment horizontal="right" vertical="center"/>
      <protection locked="0"/>
    </xf>
    <xf numFmtId="3" fontId="95" fillId="0" borderId="194" xfId="10" applyNumberFormat="1" applyFont="1" applyFill="1" applyBorder="1" applyAlignment="1" applyProtection="1">
      <alignment horizontal="right" vertical="center"/>
      <protection locked="0"/>
    </xf>
    <xf numFmtId="10" fontId="88" fillId="4" borderId="377" xfId="10" applyNumberFormat="1" applyFont="1" applyFill="1" applyBorder="1" applyAlignment="1" applyProtection="1">
      <alignment horizontal="right" vertical="center"/>
      <protection locked="0"/>
    </xf>
    <xf numFmtId="0" fontId="88" fillId="0" borderId="76" xfId="10" applyNumberFormat="1" applyFont="1" applyFill="1" applyBorder="1" applyAlignment="1" applyProtection="1">
      <alignment horizontal="left" vertical="center"/>
      <protection locked="0"/>
    </xf>
    <xf numFmtId="49" fontId="88" fillId="14" borderId="414" xfId="10" applyNumberFormat="1" applyFont="1" applyFill="1" applyBorder="1" applyAlignment="1" applyProtection="1">
      <alignment horizontal="left" vertical="center" wrapText="1"/>
      <protection locked="0"/>
    </xf>
    <xf numFmtId="3" fontId="95" fillId="0" borderId="415" xfId="10" applyNumberFormat="1" applyFont="1" applyFill="1" applyBorder="1" applyAlignment="1" applyProtection="1">
      <alignment horizontal="right" vertical="center"/>
      <protection locked="0"/>
    </xf>
    <xf numFmtId="10" fontId="95" fillId="0" borderId="415" xfId="10" applyNumberFormat="1" applyFont="1" applyFill="1" applyBorder="1" applyAlignment="1" applyProtection="1">
      <alignment horizontal="right" vertical="center"/>
      <protection locked="0"/>
    </xf>
    <xf numFmtId="3" fontId="89" fillId="4" borderId="7" xfId="10" applyNumberFormat="1" applyFont="1" applyFill="1" applyBorder="1" applyAlignment="1" applyProtection="1">
      <alignment horizontal="right" vertical="center"/>
      <protection locked="0"/>
    </xf>
    <xf numFmtId="10" fontId="89" fillId="4" borderId="81" xfId="10" applyNumberFormat="1" applyFont="1" applyFill="1" applyBorder="1" applyAlignment="1" applyProtection="1">
      <alignment horizontal="right" vertical="center"/>
      <protection locked="0"/>
    </xf>
    <xf numFmtId="3" fontId="88" fillId="4" borderId="377" xfId="10" applyNumberFormat="1" applyFont="1" applyFill="1" applyBorder="1" applyAlignment="1" applyProtection="1">
      <alignment horizontal="right" vertical="center"/>
      <protection locked="0"/>
    </xf>
    <xf numFmtId="3" fontId="88" fillId="4" borderId="411" xfId="10" applyNumberFormat="1" applyFont="1" applyFill="1" applyBorder="1" applyAlignment="1" applyProtection="1">
      <alignment horizontal="right" vertical="center"/>
      <protection locked="0"/>
    </xf>
    <xf numFmtId="3" fontId="88" fillId="4" borderId="416" xfId="10" applyNumberFormat="1" applyFont="1" applyFill="1" applyBorder="1" applyAlignment="1" applyProtection="1">
      <alignment horizontal="right" vertical="center"/>
      <protection locked="0"/>
    </xf>
    <xf numFmtId="49" fontId="89" fillId="0" borderId="76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1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71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377" xfId="10" applyNumberFormat="1" applyFont="1" applyFill="1" applyBorder="1" applyAlignment="1" applyProtection="1">
      <alignment vertical="center"/>
      <protection locked="0"/>
    </xf>
    <xf numFmtId="49" fontId="88" fillId="14" borderId="419" xfId="10" applyNumberFormat="1" applyFont="1" applyFill="1" applyBorder="1" applyAlignment="1" applyProtection="1">
      <alignment vertical="center" wrapText="1"/>
      <protection locked="0"/>
    </xf>
    <xf numFmtId="49" fontId="88" fillId="14" borderId="420" xfId="10" applyNumberFormat="1" applyFont="1" applyFill="1" applyBorder="1" applyAlignment="1" applyProtection="1">
      <alignment horizontal="center" vertical="center" wrapText="1"/>
      <protection locked="0"/>
    </xf>
    <xf numFmtId="10" fontId="0" fillId="0" borderId="194" xfId="0" applyNumberFormat="1" applyBorder="1" applyAlignment="1">
      <alignment horizontal="right" vertical="center"/>
    </xf>
    <xf numFmtId="10" fontId="91" fillId="0" borderId="339" xfId="10" applyNumberFormat="1" applyFont="1" applyFill="1" applyBorder="1" applyAlignment="1" applyProtection="1">
      <alignment horizontal="right" vertical="center"/>
      <protection locked="0"/>
    </xf>
    <xf numFmtId="49" fontId="88" fillId="14" borderId="417" xfId="10" applyNumberFormat="1" applyFont="1" applyFill="1" applyBorder="1" applyAlignment="1" applyProtection="1">
      <alignment vertical="center" wrapText="1"/>
      <protection locked="0"/>
    </xf>
    <xf numFmtId="49" fontId="88" fillId="14" borderId="371" xfId="10" applyNumberFormat="1" applyFont="1" applyFill="1" applyBorder="1" applyAlignment="1" applyProtection="1">
      <alignment vertical="center" wrapText="1"/>
      <protection locked="0"/>
    </xf>
    <xf numFmtId="49" fontId="88" fillId="14" borderId="194" xfId="10" applyNumberFormat="1" applyFont="1" applyFill="1" applyBorder="1" applyAlignment="1" applyProtection="1">
      <alignment vertical="center" wrapText="1"/>
      <protection locked="0"/>
    </xf>
    <xf numFmtId="3" fontId="88" fillId="14" borderId="154" xfId="10" applyNumberFormat="1" applyFont="1" applyFill="1" applyBorder="1" applyAlignment="1" applyProtection="1">
      <alignment horizontal="right" vertical="center" wrapText="1"/>
      <protection locked="0"/>
    </xf>
    <xf numFmtId="3" fontId="88" fillId="14" borderId="332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375" xfId="10" applyNumberFormat="1" applyFont="1" applyFill="1" applyBorder="1" applyAlignment="1" applyProtection="1">
      <alignment horizontal="center" vertical="center" wrapText="1"/>
      <protection locked="0"/>
    </xf>
    <xf numFmtId="3" fontId="88" fillId="14" borderId="19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21" xfId="10" applyNumberFormat="1" applyFont="1" applyFill="1" applyBorder="1" applyAlignment="1" applyProtection="1">
      <alignment horizontal="center" vertical="center" wrapText="1"/>
      <protection locked="0"/>
    </xf>
    <xf numFmtId="0" fontId="88" fillId="0" borderId="117" xfId="10" applyNumberFormat="1" applyFont="1" applyFill="1" applyBorder="1" applyAlignment="1" applyProtection="1">
      <alignment horizontal="left" vertical="center"/>
      <protection locked="0"/>
    </xf>
    <xf numFmtId="49" fontId="88" fillId="0" borderId="335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422" xfId="10" applyNumberFormat="1" applyFont="1" applyFill="1" applyBorder="1" applyAlignment="1" applyProtection="1">
      <alignment vertical="center"/>
      <protection locked="0"/>
    </xf>
    <xf numFmtId="10" fontId="88" fillId="0" borderId="422" xfId="10" applyNumberFormat="1" applyFont="1" applyFill="1" applyBorder="1" applyAlignment="1" applyProtection="1">
      <alignment horizontal="right" vertical="center"/>
      <protection locked="0"/>
    </xf>
    <xf numFmtId="49" fontId="88" fillId="14" borderId="42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29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424" xfId="10" applyNumberFormat="1" applyFont="1" applyFill="1" applyBorder="1" applyAlignment="1" applyProtection="1">
      <alignment horizontal="center" vertical="center" wrapText="1"/>
      <protection locked="0"/>
    </xf>
    <xf numFmtId="0" fontId="88" fillId="14" borderId="336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42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12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33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93" xfId="10" applyNumberFormat="1" applyFont="1" applyFill="1" applyBorder="1" applyAlignment="1" applyProtection="1">
      <alignment vertical="center" wrapText="1"/>
      <protection locked="0"/>
    </xf>
    <xf numFmtId="49" fontId="88" fillId="14" borderId="154" xfId="10" applyNumberFormat="1" applyFont="1" applyFill="1" applyBorder="1" applyAlignment="1" applyProtection="1">
      <alignment vertical="center" wrapText="1"/>
      <protection locked="0"/>
    </xf>
    <xf numFmtId="3" fontId="89" fillId="0" borderId="332" xfId="10" applyNumberFormat="1" applyFont="1" applyFill="1" applyBorder="1" applyAlignment="1" applyProtection="1">
      <alignment horizontal="right" vertical="center"/>
      <protection locked="0"/>
    </xf>
    <xf numFmtId="49" fontId="88" fillId="14" borderId="37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66" xfId="10" applyNumberFormat="1" applyFont="1" applyFill="1" applyBorder="1" applyAlignment="1" applyProtection="1">
      <alignment vertical="center" wrapText="1"/>
      <protection locked="0"/>
    </xf>
    <xf numFmtId="3" fontId="91" fillId="0" borderId="332" xfId="10" applyNumberFormat="1" applyFont="1" applyFill="1" applyBorder="1" applyAlignment="1" applyProtection="1">
      <alignment horizontal="right" vertical="center"/>
      <protection locked="0"/>
    </xf>
    <xf numFmtId="10" fontId="91" fillId="0" borderId="332" xfId="10" applyNumberFormat="1" applyFont="1" applyFill="1" applyBorder="1" applyAlignment="1" applyProtection="1">
      <alignment horizontal="right" vertical="center"/>
      <protection locked="0"/>
    </xf>
    <xf numFmtId="3" fontId="88" fillId="0" borderId="427" xfId="10" applyNumberFormat="1" applyFont="1" applyFill="1" applyBorder="1" applyAlignment="1" applyProtection="1">
      <alignment horizontal="right" vertical="center"/>
      <protection locked="0"/>
    </xf>
    <xf numFmtId="10" fontId="88" fillId="0" borderId="427" xfId="10" applyNumberFormat="1" applyFont="1" applyFill="1" applyBorder="1" applyAlignment="1" applyProtection="1">
      <alignment horizontal="right" vertical="center"/>
      <protection locked="0"/>
    </xf>
    <xf numFmtId="49" fontId="88" fillId="14" borderId="116" xfId="10" applyNumberFormat="1" applyFont="1" applyFill="1" applyBorder="1" applyAlignment="1" applyProtection="1">
      <alignment vertical="center" wrapText="1"/>
      <protection locked="0"/>
    </xf>
    <xf numFmtId="49" fontId="88" fillId="14" borderId="117" xfId="10" applyNumberFormat="1" applyFont="1" applyFill="1" applyBorder="1" applyAlignment="1" applyProtection="1">
      <alignment vertical="center" wrapText="1"/>
      <protection locked="0"/>
    </xf>
    <xf numFmtId="49" fontId="88" fillId="14" borderId="42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29" xfId="10" applyNumberFormat="1" applyFont="1" applyFill="1" applyBorder="1" applyAlignment="1" applyProtection="1">
      <alignment horizontal="left" vertical="center" wrapText="1"/>
      <protection locked="0"/>
    </xf>
    <xf numFmtId="3" fontId="88" fillId="14" borderId="430" xfId="10" applyNumberFormat="1" applyFont="1" applyFill="1" applyBorder="1" applyAlignment="1" applyProtection="1">
      <alignment horizontal="right" vertical="center" wrapText="1"/>
      <protection locked="0"/>
    </xf>
    <xf numFmtId="3" fontId="88" fillId="18" borderId="430" xfId="10" applyNumberFormat="1" applyFont="1" applyFill="1" applyBorder="1" applyAlignment="1" applyProtection="1">
      <alignment horizontal="right" vertical="center" wrapText="1"/>
      <protection locked="0"/>
    </xf>
    <xf numFmtId="10" fontId="88" fillId="18" borderId="430" xfId="10" applyNumberFormat="1" applyFont="1" applyFill="1" applyBorder="1" applyAlignment="1" applyProtection="1">
      <alignment horizontal="right" vertical="center" wrapText="1"/>
      <protection locked="0"/>
    </xf>
    <xf numFmtId="10" fontId="88" fillId="14" borderId="430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43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32" xfId="10" applyNumberFormat="1" applyFont="1" applyFill="1" applyBorder="1" applyAlignment="1" applyProtection="1">
      <alignment horizontal="left" vertical="center" wrapText="1"/>
      <protection locked="0"/>
    </xf>
    <xf numFmtId="3" fontId="88" fillId="14" borderId="433" xfId="10" applyNumberFormat="1" applyFont="1" applyFill="1" applyBorder="1" applyAlignment="1" applyProtection="1">
      <alignment horizontal="right" vertical="center" wrapText="1"/>
      <protection locked="0"/>
    </xf>
    <xf numFmtId="10" fontId="88" fillId="14" borderId="433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43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35" xfId="10" applyNumberFormat="1" applyFont="1" applyFill="1" applyBorder="1" applyAlignment="1" applyProtection="1">
      <alignment horizontal="left" vertical="center" wrapText="1"/>
      <protection locked="0"/>
    </xf>
    <xf numFmtId="3" fontId="88" fillId="14" borderId="436" xfId="10" applyNumberFormat="1" applyFont="1" applyFill="1" applyBorder="1" applyAlignment="1" applyProtection="1">
      <alignment horizontal="right" vertical="center" wrapText="1"/>
      <protection locked="0"/>
    </xf>
    <xf numFmtId="10" fontId="88" fillId="14" borderId="436" xfId="10" applyNumberFormat="1" applyFont="1" applyFill="1" applyBorder="1" applyAlignment="1" applyProtection="1">
      <alignment horizontal="right" vertical="center" wrapText="1"/>
      <protection locked="0"/>
    </xf>
    <xf numFmtId="3" fontId="89" fillId="0" borderId="430" xfId="10" applyNumberFormat="1" applyFont="1" applyFill="1" applyBorder="1" applyAlignment="1" applyProtection="1">
      <alignment horizontal="right" vertical="center"/>
      <protection locked="0"/>
    </xf>
    <xf numFmtId="10" fontId="89" fillId="0" borderId="430" xfId="10" applyNumberFormat="1" applyFont="1" applyFill="1" applyBorder="1" applyAlignment="1" applyProtection="1">
      <alignment horizontal="right" vertical="center"/>
      <protection locked="0"/>
    </xf>
    <xf numFmtId="49" fontId="88" fillId="14" borderId="43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3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4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4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4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4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4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4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7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4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4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4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5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51" xfId="10" applyNumberFormat="1" applyFont="1" applyFill="1" applyBorder="1" applyAlignment="1" applyProtection="1">
      <alignment horizontal="center" vertical="center" wrapText="1"/>
      <protection locked="0"/>
    </xf>
    <xf numFmtId="3" fontId="91" fillId="0" borderId="452" xfId="10" applyNumberFormat="1" applyFont="1" applyFill="1" applyBorder="1" applyAlignment="1" applyProtection="1">
      <alignment horizontal="right" vertical="center"/>
      <protection locked="0"/>
    </xf>
    <xf numFmtId="10" fontId="91" fillId="0" borderId="452" xfId="10" applyNumberFormat="1" applyFont="1" applyFill="1" applyBorder="1" applyAlignment="1" applyProtection="1">
      <alignment horizontal="right" vertical="center"/>
      <protection locked="0"/>
    </xf>
    <xf numFmtId="49" fontId="88" fillId="14" borderId="45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54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455" xfId="10" applyNumberFormat="1" applyFont="1" applyFill="1" applyBorder="1" applyAlignment="1" applyProtection="1">
      <alignment horizontal="right" vertical="center"/>
      <protection locked="0"/>
    </xf>
    <xf numFmtId="10" fontId="88" fillId="0" borderId="455" xfId="10" applyNumberFormat="1" applyFont="1" applyFill="1" applyBorder="1" applyAlignment="1" applyProtection="1">
      <alignment horizontal="right" vertical="center"/>
      <protection locked="0"/>
    </xf>
    <xf numFmtId="2" fontId="88" fillId="0" borderId="456" xfId="10" applyNumberFormat="1" applyFont="1" applyFill="1" applyBorder="1" applyAlignment="1" applyProtection="1">
      <alignment horizontal="left" vertical="center" wrapText="1"/>
      <protection locked="0"/>
    </xf>
    <xf numFmtId="2" fontId="88" fillId="0" borderId="454" xfId="10" applyNumberFormat="1" applyFont="1" applyFill="1" applyBorder="1" applyAlignment="1" applyProtection="1">
      <alignment horizontal="left" vertical="center" wrapText="1"/>
      <protection locked="0"/>
    </xf>
    <xf numFmtId="2" fontId="88" fillId="0" borderId="45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5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5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56" xfId="10" applyNumberFormat="1" applyFont="1" applyFill="1" applyBorder="1" applyAlignment="1" applyProtection="1">
      <alignment vertical="center" wrapText="1"/>
      <protection locked="0"/>
    </xf>
    <xf numFmtId="49" fontId="88" fillId="14" borderId="463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464" xfId="10" applyNumberFormat="1" applyFont="1" applyFill="1" applyBorder="1" applyAlignment="1" applyProtection="1">
      <alignment horizontal="right" vertical="center"/>
      <protection locked="0"/>
    </xf>
    <xf numFmtId="10" fontId="88" fillId="0" borderId="464" xfId="10" applyNumberFormat="1" applyFont="1" applyFill="1" applyBorder="1" applyAlignment="1" applyProtection="1">
      <alignment horizontal="right" vertical="center"/>
      <protection locked="0"/>
    </xf>
    <xf numFmtId="49" fontId="88" fillId="14" borderId="465" xfId="10" applyNumberFormat="1" applyFont="1" applyFill="1" applyBorder="1" applyAlignment="1" applyProtection="1">
      <alignment horizontal="center" vertical="center" wrapText="1"/>
      <protection locked="0"/>
    </xf>
    <xf numFmtId="2" fontId="88" fillId="0" borderId="466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467" xfId="10" applyNumberFormat="1" applyFont="1" applyFill="1" applyBorder="1" applyAlignment="1" applyProtection="1">
      <alignment horizontal="right" vertical="center"/>
      <protection locked="0"/>
    </xf>
    <xf numFmtId="10" fontId="88" fillId="0" borderId="467" xfId="10" applyNumberFormat="1" applyFont="1" applyFill="1" applyBorder="1" applyAlignment="1" applyProtection="1">
      <alignment horizontal="right" vertical="center"/>
      <protection locked="0"/>
    </xf>
    <xf numFmtId="49" fontId="88" fillId="14" borderId="468" xfId="10" applyNumberFormat="1" applyFont="1" applyFill="1" applyBorder="1" applyAlignment="1" applyProtection="1">
      <alignment horizontal="center" vertical="center" wrapText="1"/>
      <protection locked="0"/>
    </xf>
    <xf numFmtId="2" fontId="88" fillId="0" borderId="469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470" xfId="10" applyNumberFormat="1" applyFont="1" applyFill="1" applyBorder="1" applyAlignment="1" applyProtection="1">
      <alignment horizontal="right" vertical="center"/>
      <protection locked="0"/>
    </xf>
    <xf numFmtId="49" fontId="88" fillId="14" borderId="46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7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62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73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47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7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76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477" xfId="10" applyNumberFormat="1" applyFont="1" applyFill="1" applyBorder="1" applyAlignment="1" applyProtection="1">
      <alignment horizontal="right" vertical="center"/>
      <protection locked="0"/>
    </xf>
    <xf numFmtId="10" fontId="88" fillId="0" borderId="477" xfId="10" applyNumberFormat="1" applyFont="1" applyFill="1" applyBorder="1" applyAlignment="1" applyProtection="1">
      <alignment horizontal="right" vertical="center"/>
      <protection locked="0"/>
    </xf>
    <xf numFmtId="3" fontId="88" fillId="0" borderId="480" xfId="10" applyNumberFormat="1" applyFont="1" applyFill="1" applyBorder="1" applyAlignment="1" applyProtection="1">
      <alignment horizontal="right" vertical="center"/>
      <protection locked="0"/>
    </xf>
    <xf numFmtId="10" fontId="88" fillId="0" borderId="480" xfId="10" applyNumberFormat="1" applyFont="1" applyFill="1" applyBorder="1" applyAlignment="1" applyProtection="1">
      <alignment horizontal="right" vertical="center"/>
      <protection locked="0"/>
    </xf>
    <xf numFmtId="49" fontId="88" fillId="0" borderId="481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462" xfId="10" applyNumberFormat="1" applyFont="1" applyFill="1" applyBorder="1" applyAlignment="1" applyProtection="1">
      <alignment horizontal="left" vertical="center" wrapText="1"/>
      <protection locked="0"/>
    </xf>
    <xf numFmtId="3" fontId="89" fillId="0" borderId="477" xfId="10" applyNumberFormat="1" applyFont="1" applyFill="1" applyBorder="1" applyAlignment="1" applyProtection="1">
      <alignment horizontal="right" vertical="center"/>
      <protection locked="0"/>
    </xf>
    <xf numFmtId="49" fontId="61" fillId="0" borderId="471" xfId="0" applyNumberFormat="1" applyFont="1" applyBorder="1" applyAlignment="1">
      <alignment vertical="center" wrapText="1"/>
    </xf>
    <xf numFmtId="49" fontId="88" fillId="0" borderId="482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83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486" xfId="10" applyNumberFormat="1" applyFont="1" applyFill="1" applyBorder="1" applyAlignment="1" applyProtection="1">
      <alignment horizontal="center" vertical="center" wrapText="1"/>
      <protection locked="0"/>
    </xf>
    <xf numFmtId="49" fontId="95" fillId="0" borderId="419" xfId="10" applyNumberFormat="1" applyFont="1" applyFill="1" applyBorder="1" applyAlignment="1" applyProtection="1">
      <alignment horizontal="center" vertical="center" wrapText="1"/>
      <protection locked="0"/>
    </xf>
    <xf numFmtId="49" fontId="95" fillId="0" borderId="77" xfId="10" applyNumberFormat="1" applyFont="1" applyFill="1" applyBorder="1" applyAlignment="1" applyProtection="1">
      <alignment horizontal="center" vertical="center" wrapText="1"/>
      <protection locked="0"/>
    </xf>
    <xf numFmtId="49" fontId="95" fillId="0" borderId="8" xfId="10" applyNumberFormat="1" applyFont="1" applyFill="1" applyBorder="1" applyAlignment="1" applyProtection="1">
      <alignment horizontal="center" vertical="center" wrapText="1"/>
      <protection locked="0"/>
    </xf>
    <xf numFmtId="10" fontId="95" fillId="0" borderId="480" xfId="10" applyNumberFormat="1" applyFont="1" applyFill="1" applyBorder="1" applyAlignment="1" applyProtection="1">
      <alignment horizontal="right" vertical="center" wrapText="1"/>
      <protection locked="0"/>
    </xf>
    <xf numFmtId="3" fontId="89" fillId="0" borderId="480" xfId="10" applyNumberFormat="1" applyFont="1" applyFill="1" applyBorder="1" applyAlignment="1" applyProtection="1">
      <alignment horizontal="right" vertical="center"/>
      <protection locked="0"/>
    </xf>
    <xf numFmtId="10" fontId="89" fillId="0" borderId="480" xfId="10" applyNumberFormat="1" applyFont="1" applyFill="1" applyBorder="1" applyAlignment="1" applyProtection="1">
      <alignment horizontal="right" vertical="center"/>
      <protection locked="0"/>
    </xf>
    <xf numFmtId="49" fontId="95" fillId="0" borderId="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8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8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91" xfId="10" applyNumberFormat="1" applyFont="1" applyFill="1" applyBorder="1" applyAlignment="1" applyProtection="1">
      <alignment horizontal="left" vertical="center" wrapText="1"/>
      <protection locked="0"/>
    </xf>
    <xf numFmtId="49" fontId="89" fillId="17" borderId="1" xfId="10" applyNumberFormat="1" applyFont="1" applyFill="1" applyBorder="1" applyAlignment="1" applyProtection="1">
      <alignment horizontal="center" vertical="center" wrapText="1"/>
      <protection locked="0"/>
    </xf>
    <xf numFmtId="49" fontId="89" fillId="16" borderId="127" xfId="10" applyNumberFormat="1" applyFont="1" applyFill="1" applyBorder="1" applyAlignment="1" applyProtection="1">
      <alignment horizontal="center" vertical="center" wrapText="1"/>
      <protection locked="0"/>
    </xf>
    <xf numFmtId="49" fontId="89" fillId="16" borderId="128" xfId="10" applyNumberFormat="1" applyFont="1" applyFill="1" applyBorder="1" applyAlignment="1" applyProtection="1">
      <alignment horizontal="left" vertical="center" wrapText="1"/>
      <protection locked="0"/>
    </xf>
    <xf numFmtId="10" fontId="88" fillId="4" borderId="480" xfId="10" applyNumberFormat="1" applyFont="1" applyFill="1" applyBorder="1" applyAlignment="1" applyProtection="1">
      <alignment horizontal="right" vertical="center"/>
      <protection locked="0"/>
    </xf>
    <xf numFmtId="49" fontId="89" fillId="18" borderId="93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93" xfId="0" applyBorder="1" applyAlignment="1">
      <alignment horizontal="left" vertical="center" wrapText="1"/>
    </xf>
    <xf numFmtId="3" fontId="88" fillId="4" borderId="480" xfId="10" applyNumberFormat="1" applyFont="1" applyFill="1" applyBorder="1" applyAlignment="1" applyProtection="1">
      <alignment horizontal="right" vertical="center"/>
      <protection locked="0"/>
    </xf>
    <xf numFmtId="49" fontId="88" fillId="18" borderId="473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462" xfId="10" applyNumberFormat="1" applyFont="1" applyFill="1" applyBorder="1" applyAlignment="1" applyProtection="1">
      <alignment horizontal="left" vertical="center" wrapText="1"/>
      <protection locked="0"/>
    </xf>
    <xf numFmtId="10" fontId="89" fillId="0" borderId="477" xfId="10" applyNumberFormat="1" applyFont="1" applyFill="1" applyBorder="1" applyAlignment="1" applyProtection="1">
      <alignment horizontal="right" vertical="center"/>
      <protection locked="0"/>
    </xf>
    <xf numFmtId="3" fontId="88" fillId="4" borderId="194" xfId="10" applyNumberFormat="1" applyFont="1" applyFill="1" applyBorder="1" applyAlignment="1" applyProtection="1">
      <alignment horizontal="right" vertical="center"/>
      <protection locked="0"/>
    </xf>
    <xf numFmtId="49" fontId="89" fillId="18" borderId="492" xfId="10" applyNumberFormat="1" applyFont="1" applyFill="1" applyBorder="1" applyAlignment="1" applyProtection="1">
      <alignment vertical="center" wrapText="1"/>
      <protection locked="0"/>
    </xf>
    <xf numFmtId="0" fontId="0" fillId="0" borderId="493" xfId="0" applyBorder="1" applyAlignment="1">
      <alignment vertical="center"/>
    </xf>
    <xf numFmtId="0" fontId="0" fillId="0" borderId="494" xfId="0" applyBorder="1" applyAlignment="1">
      <alignment vertical="center"/>
    </xf>
    <xf numFmtId="10" fontId="88" fillId="0" borderId="494" xfId="10" applyNumberFormat="1" applyFont="1" applyFill="1" applyBorder="1" applyAlignment="1" applyProtection="1">
      <alignment horizontal="right" vertical="center"/>
      <protection locked="0"/>
    </xf>
    <xf numFmtId="10" fontId="89" fillId="0" borderId="494" xfId="10" applyNumberFormat="1" applyFont="1" applyFill="1" applyBorder="1" applyAlignment="1" applyProtection="1">
      <alignment horizontal="right" vertical="center"/>
      <protection locked="0"/>
    </xf>
    <xf numFmtId="3" fontId="89" fillId="4" borderId="419" xfId="10" applyNumberFormat="1" applyFont="1" applyFill="1" applyBorder="1" applyAlignment="1" applyProtection="1">
      <alignment horizontal="right" vertical="center"/>
      <protection locked="0"/>
    </xf>
    <xf numFmtId="10" fontId="88" fillId="0" borderId="57" xfId="10" applyNumberFormat="1" applyFont="1" applyFill="1" applyBorder="1" applyAlignment="1" applyProtection="1">
      <alignment horizontal="right" vertical="center"/>
      <protection locked="0"/>
    </xf>
    <xf numFmtId="3" fontId="88" fillId="4" borderId="417" xfId="10" applyNumberFormat="1" applyFont="1" applyFill="1" applyBorder="1" applyAlignment="1" applyProtection="1">
      <alignment horizontal="right" vertical="center"/>
      <protection locked="0"/>
    </xf>
    <xf numFmtId="10" fontId="88" fillId="0" borderId="495" xfId="10" applyNumberFormat="1" applyFont="1" applyFill="1" applyBorder="1" applyAlignment="1" applyProtection="1">
      <alignment horizontal="right" vertical="center"/>
      <protection locked="0"/>
    </xf>
    <xf numFmtId="49" fontId="88" fillId="18" borderId="46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9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97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498" xfId="10" applyNumberFormat="1" applyFont="1" applyFill="1" applyBorder="1" applyAlignment="1" applyProtection="1">
      <alignment horizontal="right" vertical="center"/>
      <protection locked="0"/>
    </xf>
    <xf numFmtId="10" fontId="88" fillId="0" borderId="498" xfId="10" applyNumberFormat="1" applyFont="1" applyFill="1" applyBorder="1" applyAlignment="1" applyProtection="1">
      <alignment horizontal="right" vertical="center"/>
      <protection locked="0"/>
    </xf>
    <xf numFmtId="49" fontId="88" fillId="14" borderId="49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00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01" xfId="10" applyNumberFormat="1" applyFont="1" applyFill="1" applyBorder="1" applyAlignment="1" applyProtection="1">
      <alignment horizontal="right" vertical="center"/>
      <protection locked="0"/>
    </xf>
    <xf numFmtId="10" fontId="88" fillId="0" borderId="501" xfId="10" applyNumberFormat="1" applyFont="1" applyFill="1" applyBorder="1" applyAlignment="1" applyProtection="1">
      <alignment horizontal="right" vertical="center"/>
      <protection locked="0"/>
    </xf>
    <xf numFmtId="49" fontId="95" fillId="16" borderId="65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163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164" xfId="10" applyNumberFormat="1" applyFont="1" applyFill="1" applyBorder="1" applyAlignment="1" applyProtection="1">
      <alignment horizontal="left" vertical="center" wrapText="1"/>
      <protection locked="0"/>
    </xf>
    <xf numFmtId="3" fontId="95" fillId="17" borderId="65" xfId="10" applyNumberFormat="1" applyFont="1" applyFill="1" applyBorder="1" applyAlignment="1" applyProtection="1">
      <alignment horizontal="right" vertical="center"/>
      <protection locked="0"/>
    </xf>
    <xf numFmtId="10" fontId="95" fillId="17" borderId="65" xfId="10" applyNumberFormat="1" applyFont="1" applyFill="1" applyBorder="1" applyAlignment="1" applyProtection="1">
      <alignment horizontal="right" vertical="center"/>
      <protection locked="0"/>
    </xf>
    <xf numFmtId="49" fontId="88" fillId="14" borderId="50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0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6" xfId="10" applyNumberFormat="1" applyFont="1" applyFill="1" applyBorder="1" applyAlignment="1" applyProtection="1">
      <alignment vertical="center" wrapText="1"/>
      <protection locked="0"/>
    </xf>
    <xf numFmtId="3" fontId="88" fillId="0" borderId="506" xfId="10" applyNumberFormat="1" applyFont="1" applyFill="1" applyBorder="1" applyAlignment="1" applyProtection="1">
      <alignment horizontal="right" vertical="center"/>
      <protection locked="0"/>
    </xf>
    <xf numFmtId="10" fontId="88" fillId="0" borderId="506" xfId="10" applyNumberFormat="1" applyFont="1" applyFill="1" applyBorder="1" applyAlignment="1" applyProtection="1">
      <alignment horizontal="right" vertical="center"/>
      <protection locked="0"/>
    </xf>
    <xf numFmtId="49" fontId="88" fillId="14" borderId="50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0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09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09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430" xfId="10" applyNumberFormat="1" applyFont="1" applyFill="1" applyBorder="1" applyAlignment="1" applyProtection="1">
      <alignment horizontal="right" vertical="center"/>
      <protection locked="0"/>
    </xf>
    <xf numFmtId="10" fontId="88" fillId="0" borderId="430" xfId="10" applyNumberFormat="1" applyFont="1" applyFill="1" applyBorder="1" applyAlignment="1" applyProtection="1">
      <alignment horizontal="right" vertical="center"/>
      <protection locked="0"/>
    </xf>
    <xf numFmtId="49" fontId="88" fillId="14" borderId="51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14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15" xfId="10" applyNumberFormat="1" applyFont="1" applyFill="1" applyBorder="1" applyAlignment="1" applyProtection="1">
      <alignment horizontal="right" vertical="center"/>
      <protection locked="0"/>
    </xf>
    <xf numFmtId="10" fontId="88" fillId="0" borderId="515" xfId="10" applyNumberFormat="1" applyFont="1" applyFill="1" applyBorder="1" applyAlignment="1" applyProtection="1">
      <alignment horizontal="right" vertical="center"/>
      <protection locked="0"/>
    </xf>
    <xf numFmtId="49" fontId="88" fillId="14" borderId="516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517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18" xfId="10" applyNumberFormat="1" applyFont="1" applyFill="1" applyBorder="1" applyAlignment="1" applyProtection="1">
      <alignment horizontal="right" vertical="center"/>
      <protection locked="0"/>
    </xf>
    <xf numFmtId="10" fontId="88" fillId="0" borderId="518" xfId="10" applyNumberFormat="1" applyFont="1" applyFill="1" applyBorder="1" applyAlignment="1" applyProtection="1">
      <alignment horizontal="right" vertical="center"/>
      <protection locked="0"/>
    </xf>
    <xf numFmtId="49" fontId="88" fillId="14" borderId="521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522" xfId="10" applyNumberFormat="1" applyFont="1" applyFill="1" applyBorder="1" applyAlignment="1" applyProtection="1">
      <alignment horizontal="left" vertical="center" wrapText="1"/>
      <protection locked="0"/>
    </xf>
    <xf numFmtId="49" fontId="61" fillId="14" borderId="523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24" xfId="10" applyNumberFormat="1" applyFont="1" applyFill="1" applyBorder="1" applyAlignment="1" applyProtection="1">
      <alignment horizontal="right" vertical="center"/>
      <protection locked="0"/>
    </xf>
    <xf numFmtId="10" fontId="88" fillId="0" borderId="524" xfId="10" applyNumberFormat="1" applyFont="1" applyFill="1" applyBorder="1" applyAlignment="1" applyProtection="1">
      <alignment horizontal="right" vertical="center"/>
      <protection locked="0"/>
    </xf>
    <xf numFmtId="3" fontId="89" fillId="0" borderId="524" xfId="10" applyNumberFormat="1" applyFont="1" applyFill="1" applyBorder="1" applyAlignment="1" applyProtection="1">
      <alignment horizontal="right" vertical="center"/>
      <protection locked="0"/>
    </xf>
    <xf numFmtId="10" fontId="89" fillId="0" borderId="524" xfId="10" applyNumberFormat="1" applyFont="1" applyFill="1" applyBorder="1" applyAlignment="1" applyProtection="1">
      <alignment horizontal="right" vertical="center"/>
      <protection locked="0"/>
    </xf>
    <xf numFmtId="49" fontId="88" fillId="14" borderId="52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27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2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29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31" xfId="10" applyNumberFormat="1" applyFont="1" applyFill="1" applyBorder="1" applyAlignment="1" applyProtection="1">
      <alignment horizontal="right" vertical="center"/>
      <protection locked="0"/>
    </xf>
    <xf numFmtId="10" fontId="88" fillId="0" borderId="531" xfId="10" applyNumberFormat="1" applyFont="1" applyFill="1" applyBorder="1" applyAlignment="1" applyProtection="1">
      <alignment horizontal="right" vertical="center"/>
      <protection locked="0"/>
    </xf>
    <xf numFmtId="49" fontId="88" fillId="0" borderId="53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33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35" xfId="10" applyNumberFormat="1" applyFont="1" applyFill="1" applyBorder="1" applyAlignment="1" applyProtection="1">
      <alignment horizontal="right" vertical="center"/>
      <protection locked="0"/>
    </xf>
    <xf numFmtId="10" fontId="88" fillId="0" borderId="535" xfId="10" applyNumberFormat="1" applyFont="1" applyFill="1" applyBorder="1" applyAlignment="1" applyProtection="1">
      <alignment horizontal="right" vertical="center"/>
      <protection locked="0"/>
    </xf>
    <xf numFmtId="49" fontId="88" fillId="14" borderId="53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37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38" xfId="10" applyNumberFormat="1" applyFont="1" applyFill="1" applyBorder="1" applyAlignment="1" applyProtection="1">
      <alignment horizontal="right" vertical="center"/>
      <protection locked="0"/>
    </xf>
    <xf numFmtId="10" fontId="88" fillId="0" borderId="538" xfId="10" applyNumberFormat="1" applyFont="1" applyFill="1" applyBorder="1" applyAlignment="1" applyProtection="1">
      <alignment horizontal="right" vertical="center"/>
      <protection locked="0"/>
    </xf>
    <xf numFmtId="3" fontId="91" fillId="0" borderId="538" xfId="10" applyNumberFormat="1" applyFont="1" applyFill="1" applyBorder="1" applyAlignment="1" applyProtection="1">
      <alignment horizontal="right" vertical="center"/>
      <protection locked="0"/>
    </xf>
    <xf numFmtId="10" fontId="91" fillId="0" borderId="538" xfId="10" applyNumberFormat="1" applyFont="1" applyFill="1" applyBorder="1" applyAlignment="1" applyProtection="1">
      <alignment horizontal="right" vertical="center"/>
      <protection locked="0"/>
    </xf>
    <xf numFmtId="49" fontId="88" fillId="14" borderId="53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40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41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4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4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4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44" xfId="10" applyNumberFormat="1" applyFont="1" applyFill="1" applyBorder="1" applyAlignment="1" applyProtection="1">
      <alignment vertical="center" wrapText="1"/>
      <protection locked="0"/>
    </xf>
    <xf numFmtId="49" fontId="88" fillId="14" borderId="545" xfId="10" applyNumberFormat="1" applyFont="1" applyFill="1" applyBorder="1" applyAlignment="1" applyProtection="1">
      <alignment vertical="center" wrapText="1"/>
      <protection locked="0"/>
    </xf>
    <xf numFmtId="49" fontId="88" fillId="14" borderId="538" xfId="10" applyNumberFormat="1" applyFont="1" applyFill="1" applyBorder="1" applyAlignment="1" applyProtection="1">
      <alignment vertical="center" wrapText="1"/>
      <protection locked="0"/>
    </xf>
    <xf numFmtId="10" fontId="88" fillId="14" borderId="538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53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3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47" xfId="10" applyNumberFormat="1" applyFont="1" applyFill="1" applyBorder="1" applyAlignment="1" applyProtection="1">
      <alignment horizontal="left" vertical="center" wrapText="1"/>
      <protection locked="0"/>
    </xf>
    <xf numFmtId="49" fontId="95" fillId="16" borderId="116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117" xfId="10" applyNumberFormat="1" applyFont="1" applyFill="1" applyBorder="1" applyAlignment="1" applyProtection="1">
      <alignment horizontal="left" vertical="center" wrapText="1"/>
      <protection locked="0"/>
    </xf>
    <xf numFmtId="3" fontId="95" fillId="17" borderId="8" xfId="10" applyNumberFormat="1" applyFont="1" applyFill="1" applyBorder="1" applyAlignment="1" applyProtection="1">
      <alignment horizontal="right" vertical="center"/>
      <protection locked="0"/>
    </xf>
    <xf numFmtId="10" fontId="95" fillId="17" borderId="538" xfId="10" applyNumberFormat="1" applyFont="1" applyFill="1" applyBorder="1" applyAlignment="1" applyProtection="1">
      <alignment horizontal="right" vertical="center"/>
      <protection locked="0"/>
    </xf>
    <xf numFmtId="49" fontId="95" fillId="16" borderId="539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429" xfId="10" applyNumberFormat="1" applyFont="1" applyFill="1" applyBorder="1" applyAlignment="1" applyProtection="1">
      <alignment horizontal="left" vertical="center" wrapText="1"/>
      <protection locked="0"/>
    </xf>
    <xf numFmtId="3" fontId="95" fillId="17" borderId="194" xfId="10" applyNumberFormat="1" applyFont="1" applyFill="1" applyBorder="1" applyAlignment="1" applyProtection="1">
      <alignment horizontal="right" vertical="center"/>
      <protection locked="0"/>
    </xf>
    <xf numFmtId="10" fontId="95" fillId="17" borderId="194" xfId="10" applyNumberFormat="1" applyFont="1" applyFill="1" applyBorder="1" applyAlignment="1" applyProtection="1">
      <alignment horizontal="right" vertical="center"/>
      <protection locked="0"/>
    </xf>
    <xf numFmtId="49" fontId="88" fillId="14" borderId="54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46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9" xfId="10" applyNumberFormat="1" applyFont="1" applyFill="1" applyBorder="1" applyAlignment="1" applyProtection="1">
      <alignment horizontal="right" vertical="center"/>
      <protection locked="0"/>
    </xf>
    <xf numFmtId="49" fontId="88" fillId="0" borderId="1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49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50" xfId="10" applyNumberFormat="1" applyFont="1" applyFill="1" applyBorder="1" applyAlignment="1" applyProtection="1">
      <alignment horizontal="right" vertical="center"/>
      <protection locked="0"/>
    </xf>
    <xf numFmtId="10" fontId="88" fillId="0" borderId="550" xfId="10" applyNumberFormat="1" applyFont="1" applyFill="1" applyBorder="1" applyAlignment="1" applyProtection="1">
      <alignment horizontal="right" vertical="center"/>
      <protection locked="0"/>
    </xf>
    <xf numFmtId="2" fontId="88" fillId="0" borderId="7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0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51" xfId="10" applyNumberFormat="1" applyFont="1" applyFill="1" applyBorder="1" applyAlignment="1" applyProtection="1">
      <alignment horizontal="left" vertical="center" wrapText="1"/>
      <protection locked="0"/>
    </xf>
    <xf numFmtId="2" fontId="88" fillId="0" borderId="0" xfId="10" applyNumberFormat="1" applyFont="1" applyFill="1" applyBorder="1" applyAlignment="1" applyProtection="1">
      <alignment vertical="center" wrapText="1"/>
      <protection locked="0"/>
    </xf>
    <xf numFmtId="2" fontId="88" fillId="0" borderId="7" xfId="10" applyNumberFormat="1" applyFont="1" applyFill="1" applyBorder="1" applyAlignment="1" applyProtection="1">
      <alignment vertical="center" wrapText="1"/>
      <protection locked="0"/>
    </xf>
    <xf numFmtId="10" fontId="88" fillId="0" borderId="7" xfId="10" applyNumberFormat="1" applyFont="1" applyFill="1" applyBorder="1" applyAlignment="1" applyProtection="1">
      <alignment horizontal="right" vertical="center" wrapText="1"/>
      <protection locked="0"/>
    </xf>
    <xf numFmtId="49" fontId="88" fillId="0" borderId="534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552" xfId="10" applyNumberFormat="1" applyFont="1" applyFill="1" applyBorder="1" applyAlignment="1" applyProtection="1">
      <alignment horizontal="left" vertical="center" wrapText="1"/>
      <protection locked="0"/>
    </xf>
    <xf numFmtId="2" fontId="88" fillId="0" borderId="55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48" xfId="10" applyNumberFormat="1" applyFont="1" applyFill="1" applyBorder="1" applyAlignment="1" applyProtection="1">
      <alignment horizontal="center" vertical="center" wrapText="1"/>
      <protection locked="0"/>
    </xf>
    <xf numFmtId="2" fontId="88" fillId="0" borderId="552" xfId="10" applyNumberFormat="1" applyFont="1" applyFill="1" applyBorder="1" applyAlignment="1" applyProtection="1">
      <alignment horizontal="left" vertical="center" wrapText="1"/>
      <protection locked="0"/>
    </xf>
    <xf numFmtId="49" fontId="61" fillId="18" borderId="539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53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5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5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52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4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46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554" xfId="10" applyNumberFormat="1" applyFont="1" applyFill="1" applyBorder="1" applyAlignment="1" applyProtection="1">
      <alignment horizontal="right" vertical="center"/>
      <protection locked="0"/>
    </xf>
    <xf numFmtId="49" fontId="88" fillId="0" borderId="8" xfId="10" applyNumberFormat="1" applyFont="1" applyFill="1" applyBorder="1" applyAlignment="1" applyProtection="1">
      <alignment vertical="center" wrapText="1"/>
      <protection locked="0"/>
    </xf>
    <xf numFmtId="49" fontId="88" fillId="14" borderId="555" xfId="10" applyNumberFormat="1" applyFont="1" applyFill="1" applyBorder="1" applyAlignment="1" applyProtection="1">
      <alignment horizontal="center" vertical="center" wrapText="1"/>
      <protection locked="0"/>
    </xf>
    <xf numFmtId="2" fontId="88" fillId="0" borderId="500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56" xfId="10" applyNumberFormat="1" applyFont="1" applyFill="1" applyBorder="1" applyAlignment="1" applyProtection="1">
      <alignment horizontal="right" vertical="center"/>
      <protection locked="0"/>
    </xf>
    <xf numFmtId="10" fontId="88" fillId="0" borderId="554" xfId="10" applyNumberFormat="1" applyFont="1" applyFill="1" applyBorder="1" applyAlignment="1" applyProtection="1">
      <alignment horizontal="right" vertical="center"/>
      <protection locked="0"/>
    </xf>
    <xf numFmtId="3" fontId="88" fillId="0" borderId="419" xfId="10" applyNumberFormat="1" applyFont="1" applyFill="1" applyBorder="1" applyAlignment="1" applyProtection="1">
      <alignment horizontal="right" vertical="center"/>
      <protection locked="0"/>
    </xf>
    <xf numFmtId="49" fontId="88" fillId="0" borderId="557" xfId="10" applyNumberFormat="1" applyFont="1" applyFill="1" applyBorder="1" applyAlignment="1" applyProtection="1">
      <alignment horizontal="center" vertical="center" wrapText="1"/>
      <protection locked="0"/>
    </xf>
    <xf numFmtId="0" fontId="61" fillId="0" borderId="558" xfId="0" applyFont="1" applyBorder="1" applyAlignment="1">
      <alignment horizontal="left" vertical="center" wrapText="1"/>
    </xf>
    <xf numFmtId="3" fontId="88" fillId="0" borderId="559" xfId="10" applyNumberFormat="1" applyFont="1" applyFill="1" applyBorder="1" applyAlignment="1" applyProtection="1">
      <alignment horizontal="right" vertical="center"/>
      <protection locked="0"/>
    </xf>
    <xf numFmtId="49" fontId="88" fillId="0" borderId="559" xfId="10" applyNumberFormat="1" applyFont="1" applyFill="1" applyBorder="1" applyAlignment="1" applyProtection="1">
      <alignment horizontal="center" vertical="center" wrapText="1"/>
      <protection locked="0"/>
    </xf>
    <xf numFmtId="0" fontId="61" fillId="0" borderId="560" xfId="0" applyFont="1" applyBorder="1" applyAlignment="1">
      <alignment horizontal="left" vertical="center" wrapText="1"/>
    </xf>
    <xf numFmtId="0" fontId="61" fillId="0" borderId="112" xfId="0" applyFont="1" applyBorder="1" applyAlignment="1">
      <alignment horizontal="left" vertical="center" wrapText="1"/>
    </xf>
    <xf numFmtId="49" fontId="89" fillId="15" borderId="561" xfId="10" applyNumberFormat="1" applyFont="1" applyFill="1" applyBorder="1" applyAlignment="1" applyProtection="1">
      <alignment horizontal="center" vertical="center" wrapText="1"/>
      <protection locked="0"/>
    </xf>
    <xf numFmtId="49" fontId="89" fillId="15" borderId="562" xfId="10" applyNumberFormat="1" applyFont="1" applyFill="1" applyBorder="1" applyAlignment="1" applyProtection="1">
      <alignment horizontal="left" vertical="center" wrapText="1"/>
      <protection locked="0"/>
    </xf>
    <xf numFmtId="3" fontId="89" fillId="8" borderId="563" xfId="10" applyNumberFormat="1" applyFont="1" applyFill="1" applyBorder="1" applyAlignment="1" applyProtection="1">
      <alignment horizontal="right" vertical="center"/>
      <protection locked="0"/>
    </xf>
    <xf numFmtId="10" fontId="89" fillId="8" borderId="68" xfId="10" applyNumberFormat="1" applyFont="1" applyFill="1" applyBorder="1" applyAlignment="1" applyProtection="1">
      <alignment horizontal="right" vertical="center"/>
      <protection locked="0"/>
    </xf>
    <xf numFmtId="3" fontId="95" fillId="17" borderId="41" xfId="10" applyNumberFormat="1" applyFont="1" applyFill="1" applyBorder="1" applyAlignment="1" applyProtection="1">
      <alignment horizontal="right" vertical="center"/>
      <protection locked="0"/>
    </xf>
    <xf numFmtId="3" fontId="88" fillId="0" borderId="566" xfId="10" applyNumberFormat="1" applyFont="1" applyFill="1" applyBorder="1" applyAlignment="1" applyProtection="1">
      <alignment horizontal="right" vertical="center"/>
      <protection locked="0"/>
    </xf>
    <xf numFmtId="49" fontId="88" fillId="14" borderId="56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6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69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70" xfId="10" applyNumberFormat="1" applyFont="1" applyFill="1" applyBorder="1" applyAlignment="1" applyProtection="1">
      <alignment horizontal="right" vertical="center"/>
      <protection locked="0"/>
    </xf>
    <xf numFmtId="49" fontId="88" fillId="14" borderId="571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52" xfId="10" applyNumberFormat="1" applyFont="1" applyFill="1" applyBorder="1" applyAlignment="1" applyProtection="1">
      <alignment horizontal="right" vertical="center"/>
      <protection locked="0"/>
    </xf>
    <xf numFmtId="49" fontId="88" fillId="14" borderId="557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551" xfId="10" applyNumberFormat="1" applyFont="1" applyFill="1" applyBorder="1" applyAlignment="1" applyProtection="1">
      <alignment horizontal="right" vertical="center"/>
      <protection locked="0"/>
    </xf>
    <xf numFmtId="3" fontId="89" fillId="0" borderId="419" xfId="10" applyNumberFormat="1" applyFont="1" applyFill="1" applyBorder="1" applyAlignment="1" applyProtection="1">
      <alignment horizontal="right" vertical="center"/>
      <protection locked="0"/>
    </xf>
    <xf numFmtId="3" fontId="88" fillId="0" borderId="507" xfId="10" applyNumberFormat="1" applyFont="1" applyFill="1" applyBorder="1" applyAlignment="1" applyProtection="1">
      <alignment horizontal="right" vertical="center"/>
      <protection locked="0"/>
    </xf>
    <xf numFmtId="49" fontId="88" fillId="14" borderId="57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74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65" xfId="10" applyNumberFormat="1" applyFont="1" applyFill="1" applyBorder="1" applyAlignment="1" applyProtection="1">
      <alignment horizontal="right" vertical="center"/>
      <protection locked="0"/>
    </xf>
    <xf numFmtId="3" fontId="88" fillId="0" borderId="564" xfId="10" applyNumberFormat="1" applyFont="1" applyFill="1" applyBorder="1" applyAlignment="1" applyProtection="1">
      <alignment horizontal="right" vertical="center"/>
      <protection locked="0"/>
    </xf>
    <xf numFmtId="3" fontId="95" fillId="17" borderId="3" xfId="10" applyNumberFormat="1" applyFont="1" applyFill="1" applyBorder="1" applyAlignment="1" applyProtection="1">
      <alignment horizontal="right" vertical="center"/>
      <protection locked="0"/>
    </xf>
    <xf numFmtId="3" fontId="88" fillId="0" borderId="427" xfId="10" applyNumberFormat="1" applyFont="1" applyFill="1" applyBorder="1" applyAlignment="1" applyProtection="1">
      <alignment vertical="center"/>
      <protection locked="0"/>
    </xf>
    <xf numFmtId="0" fontId="88" fillId="0" borderId="0" xfId="10" applyNumberFormat="1" applyFont="1" applyFill="1" applyBorder="1" applyAlignment="1" applyProtection="1">
      <alignment vertical="center"/>
      <protection locked="0"/>
    </xf>
    <xf numFmtId="0" fontId="88" fillId="0" borderId="7" xfId="10" applyNumberFormat="1" applyFont="1" applyFill="1" applyBorder="1" applyAlignment="1" applyProtection="1">
      <alignment vertical="center"/>
      <protection locked="0"/>
    </xf>
    <xf numFmtId="49" fontId="88" fillId="14" borderId="575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37" xfId="10" applyNumberFormat="1" applyFont="1" applyFill="1" applyBorder="1" applyAlignment="1" applyProtection="1">
      <alignment horizontal="left" vertical="center" wrapText="1"/>
      <protection locked="0"/>
    </xf>
    <xf numFmtId="0" fontId="61" fillId="0" borderId="500" xfId="0" applyFont="1" applyBorder="1" applyAlignment="1">
      <alignment horizontal="left" vertical="center" wrapText="1"/>
    </xf>
    <xf numFmtId="49" fontId="88" fillId="14" borderId="559" xfId="10" applyNumberFormat="1" applyFont="1" applyFill="1" applyBorder="1" applyAlignment="1" applyProtection="1">
      <alignment horizontal="center" vertical="center" wrapText="1"/>
      <protection locked="0"/>
    </xf>
    <xf numFmtId="2" fontId="88" fillId="0" borderId="57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5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8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7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78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89" fillId="0" borderId="580" xfId="10" applyNumberFormat="1" applyFont="1" applyFill="1" applyBorder="1" applyAlignment="1" applyProtection="1">
      <alignment horizontal="right" vertical="center"/>
      <protection locked="0"/>
    </xf>
    <xf numFmtId="10" fontId="89" fillId="0" borderId="580" xfId="10" applyNumberFormat="1" applyFont="1" applyFill="1" applyBorder="1" applyAlignment="1" applyProtection="1">
      <alignment horizontal="right" vertical="center"/>
      <protection locked="0"/>
    </xf>
    <xf numFmtId="3" fontId="88" fillId="0" borderId="582" xfId="10" applyNumberFormat="1" applyFont="1" applyFill="1" applyBorder="1" applyAlignment="1" applyProtection="1">
      <alignment horizontal="right" vertical="center"/>
      <protection locked="0"/>
    </xf>
    <xf numFmtId="10" fontId="88" fillId="0" borderId="582" xfId="10" applyNumberFormat="1" applyFont="1" applyFill="1" applyBorder="1" applyAlignment="1" applyProtection="1">
      <alignment horizontal="right" vertical="center"/>
      <protection locked="0"/>
    </xf>
    <xf numFmtId="49" fontId="88" fillId="14" borderId="58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8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8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86" xfId="10" applyNumberFormat="1" applyFont="1" applyFill="1" applyBorder="1" applyAlignment="1" applyProtection="1">
      <alignment vertical="center" wrapText="1"/>
      <protection locked="0"/>
    </xf>
    <xf numFmtId="49" fontId="88" fillId="14" borderId="587" xfId="10" applyNumberFormat="1" applyFont="1" applyFill="1" applyBorder="1" applyAlignment="1" applyProtection="1">
      <alignment vertical="center" wrapText="1"/>
      <protection locked="0"/>
    </xf>
    <xf numFmtId="49" fontId="88" fillId="0" borderId="42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74" xfId="10" applyNumberFormat="1" applyFont="1" applyFill="1" applyBorder="1" applyAlignment="1" applyProtection="1">
      <alignment vertical="center" wrapText="1"/>
      <protection locked="0"/>
    </xf>
    <xf numFmtId="3" fontId="88" fillId="0" borderId="580" xfId="10" applyNumberFormat="1" applyFont="1" applyFill="1" applyBorder="1" applyAlignment="1" applyProtection="1">
      <alignment horizontal="right" vertical="center"/>
      <protection locked="0"/>
    </xf>
    <xf numFmtId="10" fontId="88" fillId="0" borderId="580" xfId="10" applyNumberFormat="1" applyFont="1" applyFill="1" applyBorder="1" applyAlignment="1" applyProtection="1">
      <alignment horizontal="right" vertical="center"/>
      <protection locked="0"/>
    </xf>
    <xf numFmtId="49" fontId="88" fillId="0" borderId="428" xfId="10" applyNumberFormat="1" applyFont="1" applyFill="1" applyBorder="1" applyAlignment="1" applyProtection="1">
      <alignment horizontal="center" vertical="center" wrapText="1"/>
      <protection locked="0"/>
    </xf>
    <xf numFmtId="10" fontId="89" fillId="0" borderId="427" xfId="10" applyNumberFormat="1" applyFont="1" applyFill="1" applyBorder="1" applyAlignment="1" applyProtection="1">
      <alignment horizontal="right" vertical="center"/>
      <protection locked="0"/>
    </xf>
    <xf numFmtId="49" fontId="88" fillId="18" borderId="376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77" xfId="10" applyNumberFormat="1" applyFont="1" applyFill="1" applyBorder="1" applyAlignment="1" applyProtection="1">
      <alignment horizontal="left" vertical="center" wrapText="1"/>
      <protection locked="0"/>
    </xf>
    <xf numFmtId="49" fontId="95" fillId="18" borderId="419" xfId="10" applyNumberFormat="1" applyFont="1" applyFill="1" applyBorder="1" applyAlignment="1" applyProtection="1">
      <alignment horizontal="center" vertical="center" wrapText="1"/>
      <protection locked="0"/>
    </xf>
    <xf numFmtId="49" fontId="95" fillId="18" borderId="77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89" xfId="10" applyNumberFormat="1" applyFont="1" applyFill="1" applyBorder="1" applyAlignment="1" applyProtection="1">
      <alignment horizontal="right" vertical="center"/>
      <protection locked="0"/>
    </xf>
    <xf numFmtId="10" fontId="88" fillId="0" borderId="589" xfId="10" applyNumberFormat="1" applyFont="1" applyFill="1" applyBorder="1" applyAlignment="1" applyProtection="1">
      <alignment horizontal="right" vertical="center"/>
      <protection locked="0"/>
    </xf>
    <xf numFmtId="49" fontId="88" fillId="14" borderId="546" xfId="10" applyNumberFormat="1" applyFont="1" applyFill="1" applyBorder="1" applyAlignment="1" applyProtection="1">
      <alignment vertical="center" wrapText="1"/>
      <protection locked="0"/>
    </xf>
    <xf numFmtId="49" fontId="88" fillId="14" borderId="554" xfId="10" applyNumberFormat="1" applyFont="1" applyFill="1" applyBorder="1" applyAlignment="1" applyProtection="1">
      <alignment vertical="center" wrapText="1"/>
      <protection locked="0"/>
    </xf>
    <xf numFmtId="10" fontId="88" fillId="14" borderId="554" xfId="10" applyNumberFormat="1" applyFont="1" applyFill="1" applyBorder="1" applyAlignment="1" applyProtection="1">
      <alignment horizontal="right" vertical="center" wrapText="1"/>
      <protection locked="0"/>
    </xf>
    <xf numFmtId="10" fontId="88" fillId="0" borderId="2" xfId="10" applyNumberFormat="1" applyFont="1" applyFill="1" applyBorder="1" applyAlignment="1" applyProtection="1">
      <alignment horizontal="right" vertical="center"/>
      <protection locked="0"/>
    </xf>
    <xf numFmtId="49" fontId="88" fillId="14" borderId="59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91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8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8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8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9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95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596" xfId="10" applyNumberFormat="1" applyFont="1" applyFill="1" applyBorder="1" applyAlignment="1" applyProtection="1">
      <alignment horizontal="right" vertical="center"/>
      <protection locked="0"/>
    </xf>
    <xf numFmtId="49" fontId="89" fillId="13" borderId="3" xfId="10" applyNumberFormat="1" applyFont="1" applyFill="1" applyBorder="1" applyAlignment="1" applyProtection="1">
      <alignment horizontal="center" vertical="center" wrapText="1"/>
      <protection locked="0"/>
    </xf>
    <xf numFmtId="49" fontId="89" fillId="13" borderId="9" xfId="10" applyNumberFormat="1" applyFont="1" applyFill="1" applyBorder="1" applyAlignment="1" applyProtection="1">
      <alignment horizontal="center" vertical="center" wrapText="1"/>
      <protection locked="0"/>
    </xf>
    <xf numFmtId="49" fontId="89" fillId="13" borderId="88" xfId="10" applyNumberFormat="1" applyFont="1" applyFill="1" applyBorder="1" applyAlignment="1" applyProtection="1">
      <alignment horizontal="center" vertical="center" wrapText="1"/>
      <protection locked="0"/>
    </xf>
    <xf numFmtId="49" fontId="89" fillId="13" borderId="597" xfId="10" applyNumberFormat="1" applyFont="1" applyFill="1" applyBorder="1" applyAlignment="1" applyProtection="1">
      <alignment horizontal="left" vertical="center" wrapText="1"/>
      <protection locked="0"/>
    </xf>
    <xf numFmtId="3" fontId="89" fillId="2" borderId="598" xfId="10" applyNumberFormat="1" applyFont="1" applyFill="1" applyBorder="1" applyAlignment="1" applyProtection="1">
      <alignment horizontal="right" vertical="center"/>
      <protection locked="0"/>
    </xf>
    <xf numFmtId="3" fontId="89" fillId="2" borderId="1" xfId="10" applyNumberFormat="1" applyFont="1" applyFill="1" applyBorder="1" applyAlignment="1" applyProtection="1">
      <alignment horizontal="right" vertical="center"/>
      <protection locked="0"/>
    </xf>
    <xf numFmtId="10" fontId="89" fillId="2" borderId="68" xfId="10" applyNumberFormat="1" applyFont="1" applyFill="1" applyBorder="1" applyAlignment="1" applyProtection="1">
      <alignment horizontal="right" vertical="center"/>
      <protection locked="0"/>
    </xf>
    <xf numFmtId="3" fontId="88" fillId="0" borderId="586" xfId="10" applyNumberFormat="1" applyFont="1" applyFill="1" applyBorder="1" applyAlignment="1" applyProtection="1">
      <alignment horizontal="right" vertical="center"/>
      <protection locked="0"/>
    </xf>
    <xf numFmtId="10" fontId="88" fillId="0" borderId="588" xfId="10" applyNumberFormat="1" applyFont="1" applyFill="1" applyBorder="1" applyAlignment="1" applyProtection="1">
      <alignment horizontal="right" vertical="center"/>
      <protection locked="0"/>
    </xf>
    <xf numFmtId="3" fontId="88" fillId="0" borderId="599" xfId="10" applyNumberFormat="1" applyFont="1" applyFill="1" applyBorder="1" applyAlignment="1" applyProtection="1">
      <alignment horizontal="right" vertical="center"/>
      <protection locked="0"/>
    </xf>
    <xf numFmtId="10" fontId="88" fillId="0" borderId="600" xfId="10" applyNumberFormat="1" applyFont="1" applyFill="1" applyBorder="1" applyAlignment="1" applyProtection="1">
      <alignment horizontal="right" vertical="center"/>
      <protection locked="0"/>
    </xf>
    <xf numFmtId="3" fontId="88" fillId="4" borderId="398" xfId="10" applyNumberFormat="1" applyFont="1" applyFill="1" applyBorder="1" applyAlignment="1" applyProtection="1">
      <alignment horizontal="right" vertical="center"/>
      <protection locked="0"/>
    </xf>
    <xf numFmtId="10" fontId="88" fillId="4" borderId="399" xfId="10" applyNumberFormat="1" applyFont="1" applyFill="1" applyBorder="1" applyAlignment="1" applyProtection="1">
      <alignment horizontal="right" vertical="center"/>
      <protection locked="0"/>
    </xf>
    <xf numFmtId="3" fontId="88" fillId="0" borderId="601" xfId="10" applyNumberFormat="1" applyFont="1" applyFill="1" applyBorder="1" applyAlignment="1" applyProtection="1">
      <alignment horizontal="right" vertical="center"/>
      <protection locked="0"/>
    </xf>
    <xf numFmtId="10" fontId="88" fillId="0" borderId="602" xfId="10" applyNumberFormat="1" applyFont="1" applyFill="1" applyBorder="1" applyAlignment="1" applyProtection="1">
      <alignment horizontal="right" vertical="center"/>
      <protection locked="0"/>
    </xf>
    <xf numFmtId="3" fontId="91" fillId="0" borderId="601" xfId="10" applyNumberFormat="1" applyFont="1" applyFill="1" applyBorder="1" applyAlignment="1" applyProtection="1">
      <alignment horizontal="right" vertical="center"/>
      <protection locked="0"/>
    </xf>
    <xf numFmtId="10" fontId="91" fillId="0" borderId="602" xfId="10" applyNumberFormat="1" applyFont="1" applyFill="1" applyBorder="1" applyAlignment="1" applyProtection="1">
      <alignment horizontal="right" vertical="center"/>
      <protection locked="0"/>
    </xf>
    <xf numFmtId="49" fontId="88" fillId="0" borderId="587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393" xfId="10" applyNumberFormat="1" applyFont="1" applyFill="1" applyBorder="1" applyAlignment="1" applyProtection="1">
      <alignment horizontal="right" vertical="center"/>
      <protection locked="0"/>
    </xf>
    <xf numFmtId="49" fontId="95" fillId="16" borderId="603" xfId="10" applyNumberFormat="1" applyFont="1" applyFill="1" applyBorder="1" applyAlignment="1" applyProtection="1">
      <alignment horizontal="left" vertical="center" wrapText="1"/>
      <protection locked="0"/>
    </xf>
    <xf numFmtId="3" fontId="95" fillId="17" borderId="604" xfId="10" applyNumberFormat="1" applyFont="1" applyFill="1" applyBorder="1" applyAlignment="1" applyProtection="1">
      <alignment horizontal="right" vertical="center"/>
      <protection locked="0"/>
    </xf>
    <xf numFmtId="3" fontId="95" fillId="17" borderId="605" xfId="10" applyNumberFormat="1" applyFont="1" applyFill="1" applyBorder="1" applyAlignment="1" applyProtection="1">
      <alignment horizontal="right" vertical="center"/>
      <protection locked="0"/>
    </xf>
    <xf numFmtId="10" fontId="95" fillId="17" borderId="606" xfId="10" applyNumberFormat="1" applyFont="1" applyFill="1" applyBorder="1" applyAlignment="1" applyProtection="1">
      <alignment horizontal="right" vertical="center"/>
      <protection locked="0"/>
    </xf>
    <xf numFmtId="3" fontId="88" fillId="0" borderId="392" xfId="10" applyNumberFormat="1" applyFont="1" applyFill="1" applyBorder="1" applyAlignment="1" applyProtection="1">
      <alignment horizontal="right" vertical="center"/>
      <protection locked="0"/>
    </xf>
    <xf numFmtId="49" fontId="88" fillId="0" borderId="546" xfId="10" applyNumberFormat="1" applyFont="1" applyFill="1" applyBorder="1" applyAlignment="1" applyProtection="1">
      <alignment horizontal="left" vertical="center" wrapText="1"/>
      <protection locked="0"/>
    </xf>
    <xf numFmtId="3" fontId="91" fillId="0" borderId="599" xfId="10" applyNumberFormat="1" applyFont="1" applyFill="1" applyBorder="1" applyAlignment="1" applyProtection="1">
      <alignment horizontal="right" vertical="center"/>
      <protection locked="0"/>
    </xf>
    <xf numFmtId="49" fontId="88" fillId="14" borderId="609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604" xfId="10" applyNumberFormat="1" applyFont="1" applyFill="1" applyBorder="1" applyAlignment="1" applyProtection="1">
      <alignment horizontal="right" vertical="center"/>
      <protection locked="0"/>
    </xf>
    <xf numFmtId="49" fontId="95" fillId="16" borderId="610" xfId="10" applyNumberFormat="1" applyFont="1" applyFill="1" applyBorder="1" applyAlignment="1" applyProtection="1">
      <alignment horizontal="center" vertical="center" wrapText="1"/>
      <protection locked="0"/>
    </xf>
    <xf numFmtId="10" fontId="95" fillId="17" borderId="611" xfId="10" applyNumberFormat="1" applyFont="1" applyFill="1" applyBorder="1" applyAlignment="1" applyProtection="1">
      <alignment horizontal="right" vertical="center"/>
      <protection locked="0"/>
    </xf>
    <xf numFmtId="3" fontId="88" fillId="0" borderId="613" xfId="10" applyNumberFormat="1" applyFont="1" applyFill="1" applyBorder="1" applyAlignment="1" applyProtection="1">
      <alignment horizontal="right" vertical="center"/>
      <protection locked="0"/>
    </xf>
    <xf numFmtId="49" fontId="88" fillId="0" borderId="547" xfId="10" applyNumberFormat="1" applyFont="1" applyFill="1" applyBorder="1" applyAlignment="1" applyProtection="1">
      <alignment horizontal="left" vertical="center" wrapText="1"/>
      <protection locked="0"/>
    </xf>
    <xf numFmtId="49" fontId="89" fillId="15" borderId="597" xfId="10" applyNumberFormat="1" applyFont="1" applyFill="1" applyBorder="1" applyAlignment="1" applyProtection="1">
      <alignment horizontal="left" vertical="center" wrapText="1"/>
      <protection locked="0"/>
    </xf>
    <xf numFmtId="3" fontId="89" fillId="8" borderId="7" xfId="10" applyNumberFormat="1" applyFont="1" applyFill="1" applyBorder="1" applyAlignment="1" applyProtection="1">
      <alignment horizontal="right" vertical="center"/>
      <protection locked="0"/>
    </xf>
    <xf numFmtId="10" fontId="89" fillId="8" borderId="7" xfId="10" applyNumberFormat="1" applyFont="1" applyFill="1" applyBorder="1" applyAlignment="1" applyProtection="1">
      <alignment horizontal="right" vertical="center"/>
      <protection locked="0"/>
    </xf>
    <xf numFmtId="49" fontId="88" fillId="14" borderId="61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17" xfId="10" applyNumberFormat="1" applyFont="1" applyFill="1" applyBorder="1" applyAlignment="1" applyProtection="1">
      <alignment horizontal="center" vertical="center" wrapText="1"/>
      <protection locked="0"/>
    </xf>
    <xf numFmtId="49" fontId="61" fillId="0" borderId="618" xfId="0" applyNumberFormat="1" applyFont="1" applyBorder="1" applyAlignment="1">
      <alignment vertical="center" wrapText="1"/>
    </xf>
    <xf numFmtId="49" fontId="88" fillId="14" borderId="581" xfId="10" applyNumberFormat="1" applyFont="1" applyFill="1" applyBorder="1" applyAlignment="1" applyProtection="1">
      <alignment horizontal="center" vertical="center" wrapText="1"/>
      <protection locked="0"/>
    </xf>
    <xf numFmtId="49" fontId="61" fillId="0" borderId="429" xfId="0" applyNumberFormat="1" applyFont="1" applyBorder="1" applyAlignment="1">
      <alignment vertical="center" wrapText="1"/>
    </xf>
    <xf numFmtId="49" fontId="61" fillId="0" borderId="112" xfId="0" applyNumberFormat="1" applyFont="1" applyBorder="1" applyAlignment="1">
      <alignment vertical="center" wrapText="1"/>
    </xf>
    <xf numFmtId="49" fontId="88" fillId="14" borderId="614" xfId="10" applyNumberFormat="1" applyFont="1" applyFill="1" applyBorder="1" applyAlignment="1" applyProtection="1">
      <alignment horizontal="center" vertical="center" wrapText="1"/>
      <protection locked="0"/>
    </xf>
    <xf numFmtId="49" fontId="61" fillId="0" borderId="619" xfId="0" applyNumberFormat="1" applyFont="1" applyBorder="1" applyAlignment="1">
      <alignment vertical="center" wrapText="1"/>
    </xf>
    <xf numFmtId="49" fontId="88" fillId="14" borderId="620" xfId="10" applyNumberFormat="1" applyFont="1" applyFill="1" applyBorder="1" applyAlignment="1" applyProtection="1">
      <alignment horizontal="center" vertical="center" wrapText="1"/>
      <protection locked="0"/>
    </xf>
    <xf numFmtId="49" fontId="61" fillId="0" borderId="621" xfId="0" applyNumberFormat="1" applyFont="1" applyBorder="1" applyAlignment="1">
      <alignment vertical="center" wrapText="1"/>
    </xf>
    <xf numFmtId="49" fontId="61" fillId="0" borderId="545" xfId="0" applyNumberFormat="1" applyFont="1" applyBorder="1" applyAlignment="1">
      <alignment vertical="center" wrapText="1"/>
    </xf>
    <xf numFmtId="49" fontId="88" fillId="14" borderId="545" xfId="10" applyNumberFormat="1" applyFont="1" applyFill="1" applyBorder="1" applyAlignment="1" applyProtection="1">
      <alignment horizontal="left" vertical="center" wrapText="1"/>
      <protection locked="0"/>
    </xf>
    <xf numFmtId="3" fontId="61" fillId="4" borderId="194" xfId="10" applyNumberFormat="1" applyFont="1" applyFill="1" applyBorder="1" applyAlignment="1" applyProtection="1">
      <alignment horizontal="right" vertical="center"/>
      <protection locked="0"/>
    </xf>
    <xf numFmtId="10" fontId="61" fillId="4" borderId="550" xfId="10" applyNumberFormat="1" applyFont="1" applyFill="1" applyBorder="1" applyAlignment="1" applyProtection="1">
      <alignment horizontal="right" vertical="center"/>
      <protection locked="0"/>
    </xf>
    <xf numFmtId="49" fontId="88" fillId="14" borderId="29" xfId="10" applyNumberFormat="1" applyFont="1" applyFill="1" applyBorder="1" applyAlignment="1" applyProtection="1">
      <alignment horizontal="center" vertical="center" wrapText="1"/>
      <protection locked="0"/>
    </xf>
    <xf numFmtId="49" fontId="61" fillId="0" borderId="164" xfId="0" applyNumberFormat="1" applyFont="1" applyBorder="1" applyAlignment="1">
      <alignment vertical="center" wrapText="1"/>
    </xf>
    <xf numFmtId="3" fontId="61" fillId="4" borderId="550" xfId="10" applyNumberFormat="1" applyFont="1" applyFill="1" applyBorder="1" applyAlignment="1" applyProtection="1">
      <alignment horizontal="right" vertical="center"/>
      <protection locked="0"/>
    </xf>
    <xf numFmtId="49" fontId="88" fillId="0" borderId="624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62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2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2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2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28" xfId="10" applyNumberFormat="1" applyFont="1" applyFill="1" applyBorder="1" applyAlignment="1" applyProtection="1">
      <alignment horizontal="left" vertical="center" wrapText="1"/>
      <protection locked="0"/>
    </xf>
    <xf numFmtId="49" fontId="61" fillId="0" borderId="626" xfId="0" applyNumberFormat="1" applyFont="1" applyBorder="1" applyAlignment="1">
      <alignment vertical="center" wrapText="1"/>
    </xf>
    <xf numFmtId="49" fontId="88" fillId="14" borderId="615" xfId="10" applyNumberFormat="1" applyFont="1" applyFill="1" applyBorder="1" applyAlignment="1" applyProtection="1">
      <alignment vertical="center" wrapText="1"/>
      <protection locked="0"/>
    </xf>
    <xf numFmtId="49" fontId="88" fillId="14" borderId="63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3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3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33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634" xfId="10" applyNumberFormat="1" applyFont="1" applyFill="1" applyBorder="1" applyAlignment="1" applyProtection="1">
      <alignment horizontal="right" vertical="center"/>
      <protection locked="0"/>
    </xf>
    <xf numFmtId="10" fontId="88" fillId="0" borderId="634" xfId="10" applyNumberFormat="1" applyFont="1" applyFill="1" applyBorder="1" applyAlignment="1" applyProtection="1">
      <alignment horizontal="right" vertical="center"/>
      <protection locked="0"/>
    </xf>
    <xf numFmtId="3" fontId="88" fillId="0" borderId="637" xfId="10" applyNumberFormat="1" applyFont="1" applyFill="1" applyBorder="1" applyAlignment="1" applyProtection="1">
      <alignment horizontal="right" vertical="center"/>
      <protection locked="0"/>
    </xf>
    <xf numFmtId="10" fontId="88" fillId="0" borderId="637" xfId="10" applyNumberFormat="1" applyFont="1" applyFill="1" applyBorder="1" applyAlignment="1" applyProtection="1">
      <alignment horizontal="right" vertical="center"/>
      <protection locked="0"/>
    </xf>
    <xf numFmtId="10" fontId="88" fillId="0" borderId="638" xfId="10" applyNumberFormat="1" applyFont="1" applyFill="1" applyBorder="1" applyAlignment="1" applyProtection="1">
      <alignment horizontal="right" vertical="center"/>
      <protection locked="0"/>
    </xf>
    <xf numFmtId="49" fontId="88" fillId="14" borderId="63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40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641" xfId="10" applyNumberFormat="1" applyFont="1" applyFill="1" applyBorder="1" applyAlignment="1" applyProtection="1">
      <alignment horizontal="right" vertical="center"/>
      <protection locked="0"/>
    </xf>
    <xf numFmtId="10" fontId="88" fillId="0" borderId="642" xfId="10" applyNumberFormat="1" applyFont="1" applyFill="1" applyBorder="1" applyAlignment="1" applyProtection="1">
      <alignment horizontal="right" vertical="center"/>
      <protection locked="0"/>
    </xf>
    <xf numFmtId="49" fontId="88" fillId="14" borderId="64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4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48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650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651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643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652" xfId="10" applyNumberFormat="1" applyFont="1" applyFill="1" applyBorder="1" applyAlignment="1" applyProtection="1">
      <alignment horizontal="right" vertical="center"/>
      <protection locked="0"/>
    </xf>
    <xf numFmtId="3" fontId="88" fillId="0" borderId="652" xfId="10" applyNumberFormat="1" applyFont="1" applyFill="1" applyBorder="1" applyAlignment="1" applyProtection="1">
      <alignment horizontal="right" vertical="center"/>
      <protection locked="0"/>
    </xf>
    <xf numFmtId="10" fontId="95" fillId="7" borderId="1" xfId="10" applyNumberFormat="1" applyFont="1" applyFill="1" applyBorder="1" applyAlignment="1" applyProtection="1">
      <alignment horizontal="right" vertical="center"/>
      <protection locked="0"/>
    </xf>
    <xf numFmtId="49" fontId="88" fillId="18" borderId="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4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4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43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58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5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55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642" xfId="10" applyNumberFormat="1" applyFont="1" applyFill="1" applyBorder="1" applyAlignment="1" applyProtection="1">
      <alignment horizontal="right" vertical="center"/>
      <protection locked="0"/>
    </xf>
    <xf numFmtId="49" fontId="88" fillId="14" borderId="656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638" xfId="10" applyNumberFormat="1" applyFont="1" applyFill="1" applyBorder="1" applyAlignment="1" applyProtection="1">
      <alignment horizontal="right" vertical="center"/>
      <protection locked="0"/>
    </xf>
    <xf numFmtId="49" fontId="88" fillId="14" borderId="65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58" xfId="10" applyNumberFormat="1" applyFont="1" applyFill="1" applyBorder="1" applyAlignment="1" applyProtection="1">
      <alignment horizontal="left" vertical="center" wrapText="1"/>
      <protection locked="0"/>
    </xf>
    <xf numFmtId="10" fontId="88" fillId="4" borderId="194" xfId="10" applyNumberFormat="1" applyFont="1" applyFill="1" applyBorder="1" applyAlignment="1" applyProtection="1">
      <alignment horizontal="right" vertical="center"/>
      <protection locked="0"/>
    </xf>
    <xf numFmtId="10" fontId="88" fillId="4" borderId="7" xfId="10" applyNumberFormat="1" applyFont="1" applyFill="1" applyBorder="1" applyAlignment="1" applyProtection="1">
      <alignment horizontal="right" vertical="center"/>
      <protection locked="0"/>
    </xf>
    <xf numFmtId="49" fontId="61" fillId="0" borderId="585" xfId="0" applyNumberFormat="1" applyFont="1" applyBorder="1" applyAlignment="1">
      <alignment vertical="center" wrapText="1"/>
    </xf>
    <xf numFmtId="49" fontId="88" fillId="14" borderId="65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6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61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6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8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03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663" xfId="10" applyNumberFormat="1" applyFont="1" applyFill="1" applyBorder="1" applyAlignment="1" applyProtection="1">
      <alignment horizontal="right" vertical="center"/>
      <protection locked="0"/>
    </xf>
    <xf numFmtId="10" fontId="88" fillId="0" borderId="664" xfId="10" applyNumberFormat="1" applyFont="1" applyFill="1" applyBorder="1" applyAlignment="1" applyProtection="1">
      <alignment horizontal="right" vertical="center"/>
      <protection locked="0"/>
    </xf>
    <xf numFmtId="49" fontId="88" fillId="14" borderId="66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53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666" xfId="10" applyNumberFormat="1" applyFont="1" applyFill="1" applyBorder="1" applyAlignment="1" applyProtection="1">
      <alignment horizontal="right" vertical="center"/>
      <protection locked="0"/>
    </xf>
    <xf numFmtId="49" fontId="88" fillId="14" borderId="66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6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62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669" xfId="10" applyNumberFormat="1" applyFont="1" applyFill="1" applyBorder="1" applyAlignment="1" applyProtection="1">
      <alignment horizontal="right" vertical="center"/>
      <protection locked="0"/>
    </xf>
    <xf numFmtId="10" fontId="88" fillId="0" borderId="669" xfId="10" applyNumberFormat="1" applyFont="1" applyFill="1" applyBorder="1" applyAlignment="1" applyProtection="1">
      <alignment horizontal="right" vertical="center"/>
      <protection locked="0"/>
    </xf>
    <xf numFmtId="10" fontId="89" fillId="4" borderId="7" xfId="10" applyNumberFormat="1" applyFont="1" applyFill="1" applyBorder="1" applyAlignment="1" applyProtection="1">
      <alignment horizontal="right" vertical="center"/>
      <protection locked="0"/>
    </xf>
    <xf numFmtId="3" fontId="88" fillId="4" borderId="652" xfId="10" applyNumberFormat="1" applyFont="1" applyFill="1" applyBorder="1" applyAlignment="1" applyProtection="1">
      <alignment horizontal="right" vertical="center"/>
      <protection locked="0"/>
    </xf>
    <xf numFmtId="10" fontId="88" fillId="4" borderId="652" xfId="10" applyNumberFormat="1" applyFont="1" applyFill="1" applyBorder="1" applyAlignment="1" applyProtection="1">
      <alignment horizontal="right" vertical="center"/>
      <protection locked="0"/>
    </xf>
    <xf numFmtId="49" fontId="88" fillId="14" borderId="670" xfId="10" applyNumberFormat="1" applyFont="1" applyFill="1" applyBorder="1" applyAlignment="1" applyProtection="1">
      <alignment horizontal="center" vertical="center" wrapText="1"/>
      <protection locked="0"/>
    </xf>
    <xf numFmtId="10" fontId="88" fillId="4" borderId="407" xfId="10" applyNumberFormat="1" applyFont="1" applyFill="1" applyBorder="1" applyAlignment="1" applyProtection="1">
      <alignment horizontal="right" vertical="center"/>
      <protection locked="0"/>
    </xf>
    <xf numFmtId="3" fontId="88" fillId="4" borderId="673" xfId="10" applyNumberFormat="1" applyFont="1" applyFill="1" applyBorder="1" applyAlignment="1" applyProtection="1">
      <alignment horizontal="right" vertical="center"/>
      <protection locked="0"/>
    </xf>
    <xf numFmtId="10" fontId="88" fillId="4" borderId="673" xfId="10" applyNumberFormat="1" applyFont="1" applyFill="1" applyBorder="1" applyAlignment="1" applyProtection="1">
      <alignment horizontal="right" vertical="center"/>
      <protection locked="0"/>
    </xf>
    <xf numFmtId="49" fontId="88" fillId="14" borderId="674" xfId="10" applyNumberFormat="1" applyFont="1" applyFill="1" applyBorder="1" applyAlignment="1" applyProtection="1">
      <alignment horizontal="center" vertical="center" wrapText="1"/>
      <protection locked="0"/>
    </xf>
    <xf numFmtId="10" fontId="88" fillId="4" borderId="675" xfId="10" applyNumberFormat="1" applyFont="1" applyFill="1" applyBorder="1" applyAlignment="1" applyProtection="1">
      <alignment horizontal="right" vertical="center"/>
      <protection locked="0"/>
    </xf>
    <xf numFmtId="49" fontId="95" fillId="16" borderId="34" xfId="10" applyNumberFormat="1" applyFont="1" applyFill="1" applyBorder="1" applyAlignment="1" applyProtection="1">
      <alignment horizontal="center" vertical="center" wrapText="1"/>
      <protection locked="0"/>
    </xf>
    <xf numFmtId="49" fontId="95" fillId="16" borderId="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9" xfId="10" applyNumberFormat="1" applyFont="1" applyFill="1" applyBorder="1" applyAlignment="1" applyProtection="1">
      <alignment vertical="center" wrapText="1"/>
      <protection locked="0"/>
    </xf>
    <xf numFmtId="3" fontId="88" fillId="0" borderId="678" xfId="10" applyNumberFormat="1" applyFont="1" applyFill="1" applyBorder="1" applyAlignment="1" applyProtection="1">
      <alignment horizontal="right" vertical="center"/>
      <protection locked="0"/>
    </xf>
    <xf numFmtId="3" fontId="88" fillId="0" borderId="679" xfId="10" applyNumberFormat="1" applyFont="1" applyFill="1" applyBorder="1" applyAlignment="1" applyProtection="1">
      <alignment horizontal="right" vertical="center"/>
      <protection locked="0"/>
    </xf>
    <xf numFmtId="10" fontId="88" fillId="0" borderId="679" xfId="10" applyNumberFormat="1" applyFont="1" applyFill="1" applyBorder="1" applyAlignment="1" applyProtection="1">
      <alignment horizontal="right" vertical="center"/>
      <protection locked="0"/>
    </xf>
    <xf numFmtId="3" fontId="88" fillId="0" borderId="682" xfId="10" applyNumberFormat="1" applyFont="1" applyFill="1" applyBorder="1" applyAlignment="1" applyProtection="1">
      <alignment horizontal="right" vertical="center"/>
      <protection locked="0"/>
    </xf>
    <xf numFmtId="3" fontId="88" fillId="0" borderId="683" xfId="10" applyNumberFormat="1" applyFont="1" applyFill="1" applyBorder="1" applyAlignment="1" applyProtection="1">
      <alignment horizontal="right" vertical="center"/>
      <protection locked="0"/>
    </xf>
    <xf numFmtId="10" fontId="88" fillId="0" borderId="683" xfId="10" applyNumberFormat="1" applyFont="1" applyFill="1" applyBorder="1" applyAlignment="1" applyProtection="1">
      <alignment horizontal="right" vertical="center"/>
      <protection locked="0"/>
    </xf>
    <xf numFmtId="49" fontId="88" fillId="14" borderId="68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85" xfId="10" applyNumberFormat="1" applyFont="1" applyFill="1" applyBorder="1" applyAlignment="1" applyProtection="1">
      <alignment horizontal="left" vertical="center" wrapText="1"/>
      <protection locked="0"/>
    </xf>
    <xf numFmtId="10" fontId="88" fillId="14" borderId="16" xfId="10" applyNumberFormat="1" applyFont="1" applyFill="1" applyBorder="1" applyAlignment="1" applyProtection="1">
      <alignment horizontal="right" vertical="center" wrapText="1"/>
      <protection locked="0"/>
    </xf>
    <xf numFmtId="3" fontId="88" fillId="0" borderId="688" xfId="10" applyNumberFormat="1" applyFont="1" applyFill="1" applyBorder="1" applyAlignment="1" applyProtection="1">
      <alignment horizontal="right" vertical="center"/>
      <protection locked="0"/>
    </xf>
    <xf numFmtId="10" fontId="88" fillId="0" borderId="689" xfId="10" applyNumberFormat="1" applyFont="1" applyFill="1" applyBorder="1" applyAlignment="1" applyProtection="1">
      <alignment horizontal="right" vertical="center"/>
      <protection locked="0"/>
    </xf>
    <xf numFmtId="49" fontId="88" fillId="14" borderId="69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91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673" xfId="10" applyNumberFormat="1" applyFont="1" applyFill="1" applyBorder="1" applyAlignment="1" applyProtection="1">
      <alignment horizontal="right" vertical="center"/>
      <protection locked="0"/>
    </xf>
    <xf numFmtId="10" fontId="88" fillId="0" borderId="692" xfId="10" applyNumberFormat="1" applyFont="1" applyFill="1" applyBorder="1" applyAlignment="1" applyProtection="1">
      <alignment horizontal="right" vertical="center"/>
      <protection locked="0"/>
    </xf>
    <xf numFmtId="49" fontId="88" fillId="14" borderId="688" xfId="10" applyNumberFormat="1" applyFont="1" applyFill="1" applyBorder="1" applyAlignment="1" applyProtection="1">
      <alignment vertical="center" wrapText="1"/>
      <protection locked="0"/>
    </xf>
    <xf numFmtId="10" fontId="88" fillId="14" borderId="693" xfId="10" applyNumberFormat="1" applyFont="1" applyFill="1" applyBorder="1" applyAlignment="1" applyProtection="1">
      <alignment horizontal="right" vertical="center" wrapText="1"/>
      <protection locked="0"/>
    </xf>
    <xf numFmtId="3" fontId="88" fillId="0" borderId="696" xfId="10" applyNumberFormat="1" applyFont="1" applyFill="1" applyBorder="1" applyAlignment="1" applyProtection="1">
      <alignment horizontal="right" vertical="center"/>
      <protection locked="0"/>
    </xf>
    <xf numFmtId="10" fontId="88" fillId="0" borderId="697" xfId="10" applyNumberFormat="1" applyFont="1" applyFill="1" applyBorder="1" applyAlignment="1" applyProtection="1">
      <alignment horizontal="right" vertical="center"/>
      <protection locked="0"/>
    </xf>
    <xf numFmtId="3" fontId="88" fillId="0" borderId="702" xfId="10" applyNumberFormat="1" applyFont="1" applyFill="1" applyBorder="1" applyAlignment="1" applyProtection="1">
      <alignment horizontal="right" vertical="center"/>
      <protection locked="0"/>
    </xf>
    <xf numFmtId="10" fontId="88" fillId="0" borderId="702" xfId="10" applyNumberFormat="1" applyFont="1" applyFill="1" applyBorder="1" applyAlignment="1" applyProtection="1">
      <alignment horizontal="right" vertical="center"/>
      <protection locked="0"/>
    </xf>
    <xf numFmtId="49" fontId="88" fillId="14" borderId="70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04" xfId="10" applyNumberFormat="1" applyFont="1" applyFill="1" applyBorder="1" applyAlignment="1" applyProtection="1">
      <alignment horizontal="left" vertical="center" wrapText="1"/>
      <protection locked="0"/>
    </xf>
    <xf numFmtId="10" fontId="88" fillId="0" borderId="705" xfId="10" applyNumberFormat="1" applyFont="1" applyFill="1" applyBorder="1" applyAlignment="1" applyProtection="1">
      <alignment horizontal="right" vertical="center"/>
      <protection locked="0"/>
    </xf>
    <xf numFmtId="3" fontId="89" fillId="4" borderId="702" xfId="10" applyNumberFormat="1" applyFont="1" applyFill="1" applyBorder="1" applyAlignment="1" applyProtection="1">
      <alignment horizontal="right" vertical="center"/>
      <protection locked="0"/>
    </xf>
    <xf numFmtId="10" fontId="89" fillId="4" borderId="702" xfId="10" applyNumberFormat="1" applyFont="1" applyFill="1" applyBorder="1" applyAlignment="1" applyProtection="1">
      <alignment horizontal="right" vertical="center"/>
      <protection locked="0"/>
    </xf>
    <xf numFmtId="3" fontId="88" fillId="4" borderId="7" xfId="10" applyNumberFormat="1" applyFont="1" applyFill="1" applyBorder="1" applyAlignment="1" applyProtection="1">
      <alignment horizontal="right" vertical="center"/>
      <protection locked="0"/>
    </xf>
    <xf numFmtId="49" fontId="88" fillId="14" borderId="707" xfId="10" applyNumberFormat="1" applyFont="1" applyFill="1" applyBorder="1" applyAlignment="1" applyProtection="1">
      <alignment horizontal="center" vertical="center" wrapText="1"/>
      <protection locked="0"/>
    </xf>
    <xf numFmtId="10" fontId="88" fillId="0" borderId="673" xfId="10" applyNumberFormat="1" applyFont="1" applyFill="1" applyBorder="1" applyAlignment="1" applyProtection="1">
      <alignment horizontal="right" vertical="center"/>
      <protection locked="0"/>
    </xf>
    <xf numFmtId="49" fontId="88" fillId="14" borderId="6" xfId="10" applyNumberFormat="1" applyFont="1" applyFill="1" applyBorder="1" applyAlignment="1" applyProtection="1">
      <alignment vertical="center" wrapText="1"/>
      <protection locked="0"/>
    </xf>
    <xf numFmtId="10" fontId="89" fillId="8" borderId="42" xfId="10" applyNumberFormat="1" applyFont="1" applyFill="1" applyBorder="1" applyAlignment="1" applyProtection="1">
      <alignment horizontal="right" vertical="center"/>
      <protection locked="0"/>
    </xf>
    <xf numFmtId="3" fontId="88" fillId="0" borderId="706" xfId="10" applyNumberFormat="1" applyFont="1" applyFill="1" applyBorder="1" applyAlignment="1" applyProtection="1">
      <alignment horizontal="right" vertical="center"/>
      <protection locked="0"/>
    </xf>
    <xf numFmtId="49" fontId="89" fillId="13" borderId="42" xfId="10" applyNumberFormat="1" applyFont="1" applyFill="1" applyBorder="1" applyAlignment="1" applyProtection="1">
      <alignment vertical="top" wrapText="1"/>
      <protection locked="0"/>
    </xf>
    <xf numFmtId="10" fontId="89" fillId="13" borderId="42" xfId="10" applyNumberFormat="1" applyFont="1" applyFill="1" applyBorder="1" applyAlignment="1" applyProtection="1">
      <alignment horizontal="right" vertical="top" wrapText="1"/>
      <protection locked="0"/>
    </xf>
    <xf numFmtId="3" fontId="95" fillId="16" borderId="42" xfId="10" applyNumberFormat="1" applyFont="1" applyFill="1" applyBorder="1" applyAlignment="1" applyProtection="1">
      <alignment horizontal="right" vertical="center" wrapText="1"/>
      <protection locked="0"/>
    </xf>
    <xf numFmtId="10" fontId="95" fillId="16" borderId="42" xfId="10" applyNumberFormat="1" applyFont="1" applyFill="1" applyBorder="1" applyAlignment="1" applyProtection="1">
      <alignment horizontal="right" vertical="center" wrapText="1"/>
      <protection locked="0"/>
    </xf>
    <xf numFmtId="3" fontId="88" fillId="14" borderId="15" xfId="10" applyNumberFormat="1" applyFont="1" applyFill="1" applyBorder="1" applyAlignment="1" applyProtection="1">
      <alignment horizontal="right" vertical="center" wrapText="1"/>
      <protection locked="0"/>
    </xf>
    <xf numFmtId="10" fontId="88" fillId="14" borderId="15" xfId="10" applyNumberFormat="1" applyFont="1" applyFill="1" applyBorder="1" applyAlignment="1" applyProtection="1">
      <alignment horizontal="right" vertical="center" wrapText="1"/>
      <protection locked="0"/>
    </xf>
    <xf numFmtId="3" fontId="88" fillId="14" borderId="705" xfId="10" applyNumberFormat="1" applyFont="1" applyFill="1" applyBorder="1" applyAlignment="1" applyProtection="1">
      <alignment horizontal="right" vertical="center" wrapText="1"/>
      <protection locked="0"/>
    </xf>
    <xf numFmtId="10" fontId="88" fillId="14" borderId="705" xfId="10" applyNumberFormat="1" applyFont="1" applyFill="1" applyBorder="1" applyAlignment="1" applyProtection="1">
      <alignment horizontal="right" vertical="center" wrapText="1"/>
      <protection locked="0"/>
    </xf>
    <xf numFmtId="10" fontId="88" fillId="14" borderId="709" xfId="10" applyNumberFormat="1" applyFont="1" applyFill="1" applyBorder="1" applyAlignment="1" applyProtection="1">
      <alignment horizontal="right" vertical="center" wrapText="1"/>
      <protection locked="0"/>
    </xf>
    <xf numFmtId="3" fontId="95" fillId="16" borderId="406" xfId="10" applyNumberFormat="1" applyFont="1" applyFill="1" applyBorder="1" applyAlignment="1" applyProtection="1">
      <alignment horizontal="right" vertical="center" wrapText="1"/>
      <protection locked="0"/>
    </xf>
    <xf numFmtId="3" fontId="88" fillId="14" borderId="675" xfId="10" applyNumberFormat="1" applyFont="1" applyFill="1" applyBorder="1" applyAlignment="1" applyProtection="1">
      <alignment horizontal="right" vertical="center" wrapText="1"/>
      <protection locked="0"/>
    </xf>
    <xf numFmtId="10" fontId="88" fillId="14" borderId="65" xfId="10" applyNumberFormat="1" applyFont="1" applyFill="1" applyBorder="1" applyAlignment="1" applyProtection="1">
      <alignment horizontal="right" vertical="center" wrapText="1"/>
      <protection locked="0"/>
    </xf>
    <xf numFmtId="49" fontId="94" fillId="14" borderId="0" xfId="10" applyNumberFormat="1" applyFont="1" applyFill="1" applyBorder="1" applyAlignment="1" applyProtection="1">
      <alignment vertical="top" wrapText="1"/>
      <protection locked="0"/>
    </xf>
    <xf numFmtId="3" fontId="94" fillId="14" borderId="0" xfId="10" applyNumberFormat="1" applyFont="1" applyFill="1" applyBorder="1" applyAlignment="1" applyProtection="1">
      <alignment vertical="top" wrapText="1"/>
      <protection locked="0"/>
    </xf>
    <xf numFmtId="10" fontId="94" fillId="14" borderId="0" xfId="10" applyNumberFormat="1" applyFont="1" applyFill="1" applyBorder="1" applyAlignment="1" applyProtection="1">
      <alignment horizontal="right" vertical="top" wrapText="1"/>
      <protection locked="0"/>
    </xf>
    <xf numFmtId="164" fontId="94" fillId="14" borderId="0" xfId="10" applyNumberFormat="1" applyFont="1" applyFill="1" applyBorder="1" applyAlignment="1" applyProtection="1">
      <alignment vertical="top" wrapText="1"/>
      <protection locked="0"/>
    </xf>
    <xf numFmtId="164" fontId="94" fillId="14" borderId="0" xfId="10" applyNumberFormat="1" applyFont="1" applyFill="1" applyBorder="1" applyAlignment="1" applyProtection="1">
      <alignment horizontal="right" vertical="top" wrapText="1"/>
      <protection locked="0"/>
    </xf>
    <xf numFmtId="0" fontId="7" fillId="4" borderId="708" xfId="1" applyNumberFormat="1" applyFont="1" applyFill="1" applyBorder="1" applyAlignment="1">
      <alignment horizontal="center" vertical="center"/>
    </xf>
    <xf numFmtId="3" fontId="7" fillId="4" borderId="712" xfId="1" applyNumberFormat="1" applyFont="1" applyFill="1" applyBorder="1" applyAlignment="1">
      <alignment horizontal="right" vertical="center" wrapText="1"/>
    </xf>
    <xf numFmtId="3" fontId="7" fillId="4" borderId="713" xfId="1" applyNumberFormat="1" applyFont="1" applyFill="1" applyBorder="1" applyAlignment="1">
      <alignment horizontal="right" vertical="center" wrapText="1"/>
    </xf>
    <xf numFmtId="3" fontId="7" fillId="4" borderId="678" xfId="1" applyNumberFormat="1" applyFont="1" applyFill="1" applyBorder="1" applyAlignment="1">
      <alignment horizontal="left" vertical="center" wrapText="1"/>
    </xf>
    <xf numFmtId="0" fontId="7" fillId="4" borderId="714" xfId="1" applyNumberFormat="1" applyFont="1" applyFill="1" applyBorder="1" applyAlignment="1">
      <alignment horizontal="center" vertical="center"/>
    </xf>
    <xf numFmtId="3" fontId="7" fillId="4" borderId="715" xfId="1" applyNumberFormat="1" applyFont="1" applyFill="1" applyBorder="1" applyAlignment="1">
      <alignment horizontal="right" vertical="center" wrapText="1"/>
    </xf>
    <xf numFmtId="3" fontId="7" fillId="4" borderId="716" xfId="1" applyNumberFormat="1" applyFont="1" applyFill="1" applyBorder="1" applyAlignment="1">
      <alignment horizontal="right" vertical="center" wrapText="1"/>
    </xf>
    <xf numFmtId="3" fontId="7" fillId="4" borderId="550" xfId="1" applyNumberFormat="1" applyFont="1" applyFill="1" applyBorder="1" applyAlignment="1">
      <alignment horizontal="left" vertical="center" wrapText="1"/>
    </xf>
    <xf numFmtId="3" fontId="7" fillId="4" borderId="717" xfId="1" applyNumberFormat="1" applyFont="1" applyFill="1" applyBorder="1" applyAlignment="1">
      <alignment horizontal="right" vertical="center" wrapText="1"/>
    </xf>
    <xf numFmtId="0" fontId="7" fillId="4" borderId="706" xfId="1" applyNumberFormat="1" applyFont="1" applyFill="1" applyBorder="1" applyAlignment="1">
      <alignment horizontal="center" vertical="center"/>
    </xf>
    <xf numFmtId="3" fontId="7" fillId="4" borderId="718" xfId="1" applyNumberFormat="1" applyFont="1" applyFill="1" applyBorder="1" applyAlignment="1">
      <alignment horizontal="right" vertical="center" wrapText="1"/>
    </xf>
    <xf numFmtId="3" fontId="7" fillId="4" borderId="719" xfId="1" applyNumberFormat="1" applyFont="1" applyFill="1" applyBorder="1" applyAlignment="1">
      <alignment horizontal="right" vertical="center" wrapText="1"/>
    </xf>
    <xf numFmtId="0" fontId="29" fillId="4" borderId="708" xfId="0" applyFont="1" applyFill="1" applyBorder="1" applyAlignment="1">
      <alignment horizontal="left" vertical="center" wrapText="1"/>
    </xf>
    <xf numFmtId="3" fontId="7" fillId="4" borderId="720" xfId="1" applyNumberFormat="1" applyFont="1" applyFill="1" applyBorder="1" applyAlignment="1">
      <alignment horizontal="right" vertical="center" wrapText="1"/>
    </xf>
    <xf numFmtId="3" fontId="7" fillId="4" borderId="721" xfId="1" applyNumberFormat="1" applyFont="1" applyFill="1" applyBorder="1" applyAlignment="1">
      <alignment horizontal="right" vertical="center" wrapText="1"/>
    </xf>
    <xf numFmtId="3" fontId="13" fillId="4" borderId="717" xfId="1" applyNumberFormat="1" applyFont="1" applyFill="1" applyBorder="1" applyAlignment="1">
      <alignment horizontal="right" vertical="center" wrapText="1"/>
    </xf>
    <xf numFmtId="3" fontId="35" fillId="4" borderId="722" xfId="0" applyNumberFormat="1" applyFont="1" applyFill="1" applyBorder="1" applyAlignment="1">
      <alignment vertical="center"/>
    </xf>
    <xf numFmtId="3" fontId="7" fillId="4" borderId="720" xfId="4" applyNumberFormat="1" applyFont="1" applyFill="1" applyBorder="1" applyAlignment="1">
      <alignment vertical="center"/>
    </xf>
    <xf numFmtId="3" fontId="7" fillId="4" borderId="721" xfId="4" applyNumberFormat="1" applyFont="1" applyFill="1" applyBorder="1" applyAlignment="1">
      <alignment vertical="center"/>
    </xf>
    <xf numFmtId="3" fontId="7" fillId="4" borderId="717" xfId="4" applyNumberFormat="1" applyFont="1" applyFill="1" applyBorder="1" applyAlignment="1">
      <alignment vertical="center"/>
    </xf>
    <xf numFmtId="3" fontId="7" fillId="4" borderId="722" xfId="4" applyNumberFormat="1" applyFont="1" applyFill="1" applyBorder="1" applyAlignment="1">
      <alignment vertical="center"/>
    </xf>
    <xf numFmtId="0" fontId="7" fillId="0" borderId="711" xfId="4" applyNumberFormat="1" applyFont="1" applyBorder="1" applyAlignment="1">
      <alignment horizontal="center" vertical="center"/>
    </xf>
    <xf numFmtId="3" fontId="7" fillId="4" borderId="724" xfId="4" applyNumberFormat="1" applyFont="1" applyFill="1" applyBorder="1" applyAlignment="1">
      <alignment horizontal="right" vertical="center"/>
    </xf>
    <xf numFmtId="3" fontId="7" fillId="4" borderId="725" xfId="4" applyNumberFormat="1" applyFont="1" applyFill="1" applyBorder="1" applyAlignment="1">
      <alignment horizontal="right" vertical="center"/>
    </xf>
    <xf numFmtId="3" fontId="7" fillId="4" borderId="719" xfId="4" applyNumberFormat="1" applyFont="1" applyFill="1" applyBorder="1" applyAlignment="1">
      <alignment horizontal="right" vertical="center"/>
    </xf>
    <xf numFmtId="3" fontId="7" fillId="4" borderId="723" xfId="4" applyNumberFormat="1" applyFont="1" applyFill="1" applyBorder="1" applyAlignment="1">
      <alignment horizontal="right" vertical="center"/>
    </xf>
    <xf numFmtId="3" fontId="7" fillId="4" borderId="724" xfId="1" applyNumberFormat="1" applyFont="1" applyFill="1" applyBorder="1" applyAlignment="1">
      <alignment horizontal="right" vertical="center"/>
    </xf>
    <xf numFmtId="3" fontId="7" fillId="4" borderId="725" xfId="1" applyNumberFormat="1" applyFont="1" applyFill="1" applyBorder="1" applyAlignment="1">
      <alignment horizontal="right" vertical="center"/>
    </xf>
    <xf numFmtId="0" fontId="7" fillId="0" borderId="714" xfId="1" applyNumberFormat="1" applyFont="1" applyBorder="1" applyAlignment="1">
      <alignment horizontal="center" vertical="center"/>
    </xf>
    <xf numFmtId="3" fontId="7" fillId="4" borderId="715" xfId="1" applyNumberFormat="1" applyFont="1" applyFill="1" applyBorder="1" applyAlignment="1">
      <alignment horizontal="right" vertical="center"/>
    </xf>
    <xf numFmtId="3" fontId="7" fillId="4" borderId="716" xfId="1" applyNumberFormat="1" applyFont="1" applyFill="1" applyBorder="1" applyAlignment="1">
      <alignment horizontal="right" vertical="center"/>
    </xf>
    <xf numFmtId="0" fontId="7" fillId="4" borderId="550" xfId="1" applyFont="1" applyFill="1" applyBorder="1" applyAlignment="1">
      <alignment horizontal="left" vertical="center" wrapText="1"/>
    </xf>
    <xf numFmtId="0" fontId="7" fillId="0" borderId="711" xfId="1" applyNumberFormat="1" applyFont="1" applyBorder="1" applyAlignment="1">
      <alignment horizontal="center" vertical="center"/>
    </xf>
    <xf numFmtId="3" fontId="7" fillId="4" borderId="719" xfId="1" applyNumberFormat="1" applyFont="1" applyFill="1" applyBorder="1" applyAlignment="1">
      <alignment horizontal="right" vertical="center"/>
    </xf>
    <xf numFmtId="3" fontId="7" fillId="4" borderId="723" xfId="1" applyNumberFormat="1" applyFont="1" applyFill="1" applyBorder="1" applyAlignment="1">
      <alignment horizontal="right" vertical="center"/>
    </xf>
    <xf numFmtId="3" fontId="7" fillId="4" borderId="720" xfId="1" applyNumberFormat="1" applyFont="1" applyFill="1" applyBorder="1" applyAlignment="1">
      <alignment horizontal="right" vertical="center"/>
    </xf>
    <xf numFmtId="3" fontId="7" fillId="4" borderId="721" xfId="1" applyNumberFormat="1" applyFont="1" applyFill="1" applyBorder="1" applyAlignment="1">
      <alignment horizontal="right" vertical="center"/>
    </xf>
    <xf numFmtId="3" fontId="28" fillId="2" borderId="723" xfId="1" applyNumberFormat="1" applyFont="1" applyFill="1" applyBorder="1" applyAlignment="1">
      <alignment horizontal="right" vertical="center"/>
    </xf>
    <xf numFmtId="0" fontId="29" fillId="0" borderId="724" xfId="1" applyFont="1" applyFill="1" applyBorder="1" applyAlignment="1">
      <alignment horizontal="center" vertical="center" wrapText="1"/>
    </xf>
    <xf numFmtId="0" fontId="29" fillId="0" borderId="712" xfId="1" applyFont="1" applyBorder="1" applyAlignment="1">
      <alignment horizontal="center" vertical="center"/>
    </xf>
    <xf numFmtId="0" fontId="29" fillId="0" borderId="724" xfId="1" applyFont="1" applyBorder="1" applyAlignment="1">
      <alignment horizontal="center" vertical="center"/>
    </xf>
    <xf numFmtId="0" fontId="28" fillId="8" borderId="711" xfId="1" applyFont="1" applyFill="1" applyBorder="1" applyAlignment="1">
      <alignment horizontal="center" vertical="center" wrapText="1"/>
    </xf>
    <xf numFmtId="0" fontId="28" fillId="8" borderId="724" xfId="1" applyFont="1" applyFill="1" applyBorder="1" applyAlignment="1">
      <alignment horizontal="center" vertical="center" wrapText="1"/>
    </xf>
    <xf numFmtId="0" fontId="28" fillId="8" borderId="675" xfId="1" applyFont="1" applyFill="1" applyBorder="1" applyAlignment="1">
      <alignment horizontal="center" vertical="center" wrapText="1"/>
    </xf>
    <xf numFmtId="0" fontId="29" fillId="0" borderId="711" xfId="1" applyFont="1" applyFill="1" applyBorder="1" applyAlignment="1">
      <alignment horizontal="center" vertical="center"/>
    </xf>
    <xf numFmtId="0" fontId="29" fillId="0" borderId="725" xfId="1" applyFont="1" applyFill="1" applyBorder="1" applyAlignment="1">
      <alignment horizontal="center" vertical="center"/>
    </xf>
    <xf numFmtId="3" fontId="29" fillId="0" borderId="711" xfId="1" applyNumberFormat="1" applyFont="1" applyFill="1" applyBorder="1" applyAlignment="1">
      <alignment horizontal="right" vertical="center" wrapText="1"/>
    </xf>
    <xf numFmtId="3" fontId="29" fillId="0" borderId="724" xfId="1" applyNumberFormat="1" applyFont="1" applyFill="1" applyBorder="1" applyAlignment="1">
      <alignment horizontal="right" vertical="center" wrapText="1"/>
    </xf>
    <xf numFmtId="0" fontId="29" fillId="0" borderId="675" xfId="1" applyFont="1" applyFill="1" applyBorder="1" applyAlignment="1">
      <alignment horizontal="right" vertical="center" wrapText="1"/>
    </xf>
    <xf numFmtId="0" fontId="29" fillId="0" borderId="728" xfId="1" applyFont="1" applyFill="1" applyBorder="1" applyAlignment="1">
      <alignment horizontal="right" vertical="center" wrapText="1"/>
    </xf>
    <xf numFmtId="3" fontId="28" fillId="3" borderId="419" xfId="1" applyNumberFormat="1" applyFont="1" applyFill="1" applyBorder="1" applyAlignment="1">
      <alignment horizontal="right" vertical="center"/>
    </xf>
    <xf numFmtId="0" fontId="29" fillId="0" borderId="716" xfId="1" applyFont="1" applyBorder="1" applyAlignment="1">
      <alignment horizontal="center" vertical="center" wrapText="1"/>
    </xf>
    <xf numFmtId="3" fontId="29" fillId="0" borderId="620" xfId="1" applyNumberFormat="1" applyFont="1" applyBorder="1" applyAlignment="1">
      <alignment horizontal="right" vertical="center"/>
    </xf>
    <xf numFmtId="3" fontId="29" fillId="0" borderId="550" xfId="1" applyNumberFormat="1" applyFont="1" applyBorder="1" applyAlignment="1">
      <alignment horizontal="right" vertical="center"/>
    </xf>
    <xf numFmtId="3" fontId="29" fillId="0" borderId="714" xfId="1" applyNumberFormat="1" applyFont="1" applyBorder="1" applyAlignment="1">
      <alignment horizontal="right" vertical="center"/>
    </xf>
    <xf numFmtId="3" fontId="29" fillId="0" borderId="715" xfId="1" applyNumberFormat="1" applyFont="1" applyBorder="1" applyAlignment="1">
      <alignment horizontal="right" vertical="center"/>
    </xf>
    <xf numFmtId="3" fontId="29" fillId="0" borderId="709" xfId="1" applyNumberFormat="1" applyFont="1" applyBorder="1" applyAlignment="1">
      <alignment horizontal="right" vertical="center"/>
    </xf>
    <xf numFmtId="3" fontId="29" fillId="0" borderId="730" xfId="1" applyNumberFormat="1" applyFont="1" applyBorder="1" applyAlignment="1">
      <alignment horizontal="right" vertical="center"/>
    </xf>
    <xf numFmtId="3" fontId="7" fillId="0" borderId="550" xfId="2" applyNumberFormat="1" applyFont="1" applyBorder="1" applyAlignment="1">
      <alignment vertical="center"/>
    </xf>
    <xf numFmtId="3" fontId="7" fillId="0" borderId="730" xfId="2" applyNumberFormat="1" applyFont="1" applyBorder="1" applyAlignment="1">
      <alignment vertical="center"/>
    </xf>
    <xf numFmtId="0" fontId="7" fillId="0" borderId="678" xfId="2" applyFont="1" applyBorder="1" applyAlignment="1">
      <alignment horizontal="center" vertical="center"/>
    </xf>
    <xf numFmtId="0" fontId="7" fillId="0" borderId="615" xfId="16" applyFont="1" applyBorder="1" applyAlignment="1">
      <alignment vertical="center" wrapText="1"/>
    </xf>
    <xf numFmtId="3" fontId="7" fillId="0" borderId="678" xfId="2" applyNumberFormat="1" applyFont="1" applyBorder="1" applyAlignment="1">
      <alignment vertical="center"/>
    </xf>
    <xf numFmtId="3" fontId="7" fillId="0" borderId="718" xfId="2" applyNumberFormat="1" applyFont="1" applyBorder="1" applyAlignment="1">
      <alignment vertical="center"/>
    </xf>
    <xf numFmtId="0" fontId="7" fillId="0" borderId="615" xfId="16" applyFont="1" applyBorder="1"/>
    <xf numFmtId="0" fontId="21" fillId="0" borderId="0" xfId="1" applyFont="1" applyAlignment="1">
      <alignment horizontal="center" vertical="center" wrapText="1"/>
    </xf>
    <xf numFmtId="0" fontId="101" fillId="20" borderId="712" xfId="1" applyFont="1" applyFill="1" applyBorder="1" applyAlignment="1">
      <alignment horizontal="center" vertical="center" wrapText="1"/>
    </xf>
    <xf numFmtId="0" fontId="101" fillId="20" borderId="705" xfId="1" applyFont="1" applyFill="1" applyBorder="1" applyAlignment="1">
      <alignment horizontal="center" vertical="center" wrapText="1"/>
    </xf>
    <xf numFmtId="49" fontId="102" fillId="20" borderId="729" xfId="1" applyNumberFormat="1" applyFont="1" applyFill="1" applyBorder="1" applyAlignment="1">
      <alignment horizontal="center" vertical="center"/>
    </xf>
    <xf numFmtId="49" fontId="102" fillId="20" borderId="712" xfId="1" applyNumberFormat="1" applyFont="1" applyFill="1" applyBorder="1" applyAlignment="1">
      <alignment horizontal="center" vertical="center"/>
    </xf>
    <xf numFmtId="0" fontId="16" fillId="20" borderId="712" xfId="1" applyFont="1" applyFill="1" applyBorder="1" applyAlignment="1">
      <alignment horizontal="center" vertical="center"/>
    </xf>
    <xf numFmtId="0" fontId="16" fillId="20" borderId="705" xfId="1" applyFont="1" applyFill="1" applyBorder="1" applyAlignment="1">
      <alignment horizontal="center" vertical="center"/>
    </xf>
    <xf numFmtId="49" fontId="9" fillId="21" borderId="729" xfId="1" applyNumberFormat="1" applyFont="1" applyFill="1" applyBorder="1" applyAlignment="1">
      <alignment horizontal="center" vertical="center"/>
    </xf>
    <xf numFmtId="3" fontId="11" fillId="21" borderId="712" xfId="1" applyNumberFormat="1" applyFont="1" applyFill="1" applyBorder="1" applyAlignment="1">
      <alignment vertical="center"/>
    </xf>
    <xf numFmtId="3" fontId="11" fillId="21" borderId="705" xfId="1" applyNumberFormat="1" applyFont="1" applyFill="1" applyBorder="1" applyAlignment="1">
      <alignment vertical="center"/>
    </xf>
    <xf numFmtId="49" fontId="99" fillId="17" borderId="712" xfId="1" applyNumberFormat="1" applyFont="1" applyFill="1" applyBorder="1" applyAlignment="1">
      <alignment horizontal="center" vertical="center" wrapText="1"/>
    </xf>
    <xf numFmtId="3" fontId="103" fillId="17" borderId="712" xfId="1" applyNumberFormat="1" applyFont="1" applyFill="1" applyBorder="1" applyAlignment="1">
      <alignment vertical="center"/>
    </xf>
    <xf numFmtId="3" fontId="103" fillId="17" borderId="705" xfId="1" applyNumberFormat="1" applyFont="1" applyFill="1" applyBorder="1" applyAlignment="1">
      <alignment vertical="center"/>
    </xf>
    <xf numFmtId="0" fontId="104" fillId="0" borderId="0" xfId="1" applyFont="1"/>
    <xf numFmtId="3" fontId="104" fillId="0" borderId="0" xfId="1" applyNumberFormat="1" applyFont="1"/>
    <xf numFmtId="49" fontId="105" fillId="11" borderId="712" xfId="1" applyNumberFormat="1" applyFont="1" applyFill="1" applyBorder="1" applyAlignment="1">
      <alignment horizontal="center" vertical="center" wrapText="1"/>
    </xf>
    <xf numFmtId="3" fontId="106" fillId="11" borderId="712" xfId="1" applyNumberFormat="1" applyFont="1" applyFill="1" applyBorder="1" applyAlignment="1">
      <alignment vertical="center"/>
    </xf>
    <xf numFmtId="3" fontId="106" fillId="11" borderId="705" xfId="1" applyNumberFormat="1" applyFont="1" applyFill="1" applyBorder="1" applyAlignment="1">
      <alignment vertical="center"/>
    </xf>
    <xf numFmtId="49" fontId="41" fillId="0" borderId="712" xfId="1" applyNumberFormat="1" applyFont="1" applyBorder="1" applyAlignment="1">
      <alignment horizontal="center" vertical="center"/>
    </xf>
    <xf numFmtId="3" fontId="41" fillId="0" borderId="712" xfId="1" applyNumberFormat="1" applyFont="1" applyBorder="1" applyAlignment="1">
      <alignment vertical="center"/>
    </xf>
    <xf numFmtId="3" fontId="41" fillId="0" borderId="705" xfId="1" applyNumberFormat="1" applyFont="1" applyBorder="1" applyAlignment="1">
      <alignment vertical="center"/>
    </xf>
    <xf numFmtId="49" fontId="105" fillId="11" borderId="712" xfId="1" applyNumberFormat="1" applyFont="1" applyFill="1" applyBorder="1" applyAlignment="1">
      <alignment horizontal="center" vertical="center"/>
    </xf>
    <xf numFmtId="0" fontId="41" fillId="0" borderId="715" xfId="1" applyFont="1" applyBorder="1" applyAlignment="1">
      <alignment horizontal="center" vertical="center"/>
    </xf>
    <xf numFmtId="0" fontId="41" fillId="0" borderId="712" xfId="1" applyFont="1" applyBorder="1" applyAlignment="1">
      <alignment horizontal="center" vertical="center"/>
    </xf>
    <xf numFmtId="0" fontId="41" fillId="0" borderId="57" xfId="1" applyFont="1" applyBorder="1" applyAlignment="1">
      <alignment horizontal="center" vertical="center"/>
    </xf>
    <xf numFmtId="49" fontId="41" fillId="0" borderId="715" xfId="1" applyNumberFormat="1" applyFont="1" applyBorder="1" applyAlignment="1">
      <alignment horizontal="center" vertical="center"/>
    </xf>
    <xf numFmtId="3" fontId="107" fillId="0" borderId="0" xfId="1" applyNumberFormat="1" applyFont="1"/>
    <xf numFmtId="3" fontId="72" fillId="0" borderId="0" xfId="1" applyNumberFormat="1" applyFont="1"/>
    <xf numFmtId="0" fontId="72" fillId="0" borderId="0" xfId="1" applyFont="1"/>
    <xf numFmtId="49" fontId="17" fillId="0" borderId="712" xfId="1" applyNumberFormat="1" applyFont="1" applyBorder="1" applyAlignment="1">
      <alignment horizontal="center" vertical="center" wrapText="1"/>
    </xf>
    <xf numFmtId="3" fontId="25" fillId="0" borderId="712" xfId="1" applyNumberFormat="1" applyFont="1" applyBorder="1" applyAlignment="1">
      <alignment vertical="center"/>
    </xf>
    <xf numFmtId="3" fontId="25" fillId="0" borderId="705" xfId="1" applyNumberFormat="1" applyFont="1" applyBorder="1" applyAlignment="1">
      <alignment vertical="center"/>
    </xf>
    <xf numFmtId="49" fontId="41" fillId="0" borderId="14" xfId="1" applyNumberFormat="1" applyFont="1" applyBorder="1" applyAlignment="1">
      <alignment vertical="center"/>
    </xf>
    <xf numFmtId="0" fontId="41" fillId="0" borderId="720" xfId="1" applyFont="1" applyBorder="1" applyAlignment="1">
      <alignment vertical="center" wrapText="1"/>
    </xf>
    <xf numFmtId="0" fontId="41" fillId="0" borderId="720" xfId="1" applyFont="1" applyBorder="1" applyAlignment="1">
      <alignment vertical="center"/>
    </xf>
    <xf numFmtId="49" fontId="41" fillId="0" borderId="720" xfId="1" applyNumberFormat="1" applyFont="1" applyBorder="1" applyAlignment="1">
      <alignment vertical="center"/>
    </xf>
    <xf numFmtId="49" fontId="41" fillId="0" borderId="281" xfId="1" applyNumberFormat="1" applyFont="1" applyBorder="1" applyAlignment="1">
      <alignment vertical="center"/>
    </xf>
    <xf numFmtId="0" fontId="41" fillId="0" borderId="57" xfId="1" applyFont="1" applyBorder="1" applyAlignment="1">
      <alignment vertical="center" wrapText="1"/>
    </xf>
    <xf numFmtId="0" fontId="41" fillId="0" borderId="57" xfId="1" applyFont="1" applyBorder="1" applyAlignment="1">
      <alignment vertical="center"/>
    </xf>
    <xf numFmtId="49" fontId="41" fillId="0" borderId="57" xfId="1" applyNumberFormat="1" applyFont="1" applyBorder="1" applyAlignment="1">
      <alignment vertical="center"/>
    </xf>
    <xf numFmtId="49" fontId="108" fillId="0" borderId="729" xfId="1" applyNumberFormat="1" applyFont="1" applyBorder="1" applyAlignment="1">
      <alignment vertical="center"/>
    </xf>
    <xf numFmtId="0" fontId="108" fillId="0" borderId="712" xfId="1" applyFont="1" applyBorder="1" applyAlignment="1">
      <alignment vertical="center" wrapText="1"/>
    </xf>
    <xf numFmtId="0" fontId="108" fillId="0" borderId="712" xfId="1" applyFont="1" applyBorder="1" applyAlignment="1">
      <alignment vertical="center"/>
    </xf>
    <xf numFmtId="49" fontId="108" fillId="0" borderId="712" xfId="1" applyNumberFormat="1" applyFont="1" applyBorder="1" applyAlignment="1">
      <alignment vertical="center"/>
    </xf>
    <xf numFmtId="49" fontId="108" fillId="0" borderId="712" xfId="1" applyNumberFormat="1" applyFont="1" applyBorder="1" applyAlignment="1">
      <alignment horizontal="center" vertical="center"/>
    </xf>
    <xf numFmtId="3" fontId="108" fillId="0" borderId="712" xfId="1" applyNumberFormat="1" applyFont="1" applyBorder="1" applyAlignment="1">
      <alignment vertical="center"/>
    </xf>
    <xf numFmtId="3" fontId="108" fillId="0" borderId="705" xfId="1" applyNumberFormat="1" applyFont="1" applyBorder="1" applyAlignment="1">
      <alignment vertical="center"/>
    </xf>
    <xf numFmtId="49" fontId="110" fillId="17" borderId="712" xfId="1" applyNumberFormat="1" applyFont="1" applyFill="1" applyBorder="1" applyAlignment="1">
      <alignment horizontal="center" vertical="center" wrapText="1"/>
    </xf>
    <xf numFmtId="3" fontId="111" fillId="17" borderId="712" xfId="1" applyNumberFormat="1" applyFont="1" applyFill="1" applyBorder="1" applyAlignment="1">
      <alignment vertical="center"/>
    </xf>
    <xf numFmtId="3" fontId="111" fillId="17" borderId="705" xfId="1" applyNumberFormat="1" applyFont="1" applyFill="1" applyBorder="1" applyAlignment="1">
      <alignment vertical="center"/>
    </xf>
    <xf numFmtId="49" fontId="112" fillId="11" borderId="712" xfId="1" applyNumberFormat="1" applyFont="1" applyFill="1" applyBorder="1" applyAlignment="1">
      <alignment horizontal="center" vertical="center" wrapText="1"/>
    </xf>
    <xf numFmtId="3" fontId="113" fillId="11" borderId="712" xfId="1" applyNumberFormat="1" applyFont="1" applyFill="1" applyBorder="1" applyAlignment="1">
      <alignment vertical="center"/>
    </xf>
    <xf numFmtId="3" fontId="113" fillId="11" borderId="705" xfId="1" applyNumberFormat="1" applyFont="1" applyFill="1" applyBorder="1" applyAlignment="1">
      <alignment vertical="center"/>
    </xf>
    <xf numFmtId="49" fontId="114" fillId="0" borderId="712" xfId="1" applyNumberFormat="1" applyFont="1" applyBorder="1" applyAlignment="1">
      <alignment horizontal="center" vertical="center" wrapText="1"/>
    </xf>
    <xf numFmtId="3" fontId="109" fillId="0" borderId="712" xfId="1" applyNumberFormat="1" applyFont="1" applyBorder="1" applyAlignment="1">
      <alignment vertical="center"/>
    </xf>
    <xf numFmtId="3" fontId="109" fillId="0" borderId="705" xfId="1" applyNumberFormat="1" applyFont="1" applyBorder="1" applyAlignment="1">
      <alignment vertical="center"/>
    </xf>
    <xf numFmtId="49" fontId="112" fillId="11" borderId="712" xfId="1" applyNumberFormat="1" applyFont="1" applyFill="1" applyBorder="1" applyAlignment="1">
      <alignment horizontal="center" vertical="center"/>
    </xf>
    <xf numFmtId="3" fontId="104" fillId="0" borderId="0" xfId="1" applyNumberFormat="1" applyFont="1" applyAlignment="1">
      <alignment horizontal="right"/>
    </xf>
    <xf numFmtId="0" fontId="104" fillId="0" borderId="0" xfId="1" applyFont="1" applyAlignment="1">
      <alignment horizontal="right"/>
    </xf>
    <xf numFmtId="0" fontId="109" fillId="0" borderId="712" xfId="1" applyFont="1" applyBorder="1" applyAlignment="1">
      <alignment vertical="center" wrapText="1"/>
    </xf>
    <xf numFmtId="49" fontId="41" fillId="0" borderId="712" xfId="1" applyNumberFormat="1" applyFont="1" applyFill="1" applyBorder="1" applyAlignment="1">
      <alignment horizontal="center" vertical="center"/>
    </xf>
    <xf numFmtId="0" fontId="72" fillId="0" borderId="0" xfId="1" applyFont="1" applyAlignment="1">
      <alignment horizontal="center"/>
    </xf>
    <xf numFmtId="49" fontId="41" fillId="0" borderId="712" xfId="1" applyNumberFormat="1" applyFont="1" applyBorder="1" applyAlignment="1">
      <alignment horizontal="center" vertical="center" wrapText="1"/>
    </xf>
    <xf numFmtId="3" fontId="115" fillId="0" borderId="0" xfId="1" applyNumberFormat="1" applyFont="1"/>
    <xf numFmtId="0" fontId="104" fillId="0" borderId="0" xfId="1" applyFont="1" applyAlignment="1">
      <alignment horizontal="center"/>
    </xf>
    <xf numFmtId="0" fontId="108" fillId="0" borderId="712" xfId="1" applyFont="1" applyBorder="1" applyAlignment="1">
      <alignment horizontal="center" vertical="center"/>
    </xf>
    <xf numFmtId="49" fontId="41" fillId="0" borderId="729" xfId="1" applyNumberFormat="1" applyFont="1" applyBorder="1" applyAlignment="1">
      <alignment vertical="center"/>
    </xf>
    <xf numFmtId="0" fontId="25" fillId="0" borderId="712" xfId="1" applyFont="1" applyBorder="1" applyAlignment="1">
      <alignment vertical="center" wrapText="1"/>
    </xf>
    <xf numFmtId="49" fontId="41" fillId="0" borderId="712" xfId="1" applyNumberFormat="1" applyFont="1" applyBorder="1" applyAlignment="1">
      <alignment vertical="center"/>
    </xf>
    <xf numFmtId="0" fontId="41" fillId="0" borderId="712" xfId="1" applyFont="1" applyBorder="1" applyAlignment="1">
      <alignment vertical="center"/>
    </xf>
    <xf numFmtId="49" fontId="41" fillId="0" borderId="727" xfId="1" applyNumberFormat="1" applyFont="1" applyBorder="1" applyAlignment="1">
      <alignment vertical="center"/>
    </xf>
    <xf numFmtId="0" fontId="25" fillId="0" borderId="715" xfId="1" applyFont="1" applyBorder="1" applyAlignment="1">
      <alignment vertical="center" wrapText="1"/>
    </xf>
    <xf numFmtId="49" fontId="41" fillId="0" borderId="715" xfId="1" applyNumberFormat="1" applyFont="1" applyBorder="1" applyAlignment="1">
      <alignment vertical="center"/>
    </xf>
    <xf numFmtId="0" fontId="25" fillId="0" borderId="720" xfId="1" applyFont="1" applyBorder="1" applyAlignment="1">
      <alignment vertical="center" wrapText="1"/>
    </xf>
    <xf numFmtId="3" fontId="107" fillId="0" borderId="0" xfId="1" applyNumberFormat="1" applyFont="1" applyAlignment="1">
      <alignment vertical="center"/>
    </xf>
    <xf numFmtId="3" fontId="9" fillId="21" borderId="712" xfId="1" applyNumberFormat="1" applyFont="1" applyFill="1" applyBorder="1" applyAlignment="1">
      <alignment vertical="center"/>
    </xf>
    <xf numFmtId="3" fontId="9" fillId="21" borderId="705" xfId="1" applyNumberFormat="1" applyFont="1" applyFill="1" applyBorder="1" applyAlignment="1">
      <alignment vertical="center"/>
    </xf>
    <xf numFmtId="49" fontId="53" fillId="21" borderId="729" xfId="1" applyNumberFormat="1" applyFont="1" applyFill="1" applyBorder="1" applyAlignment="1">
      <alignment horizontal="center" vertical="center"/>
    </xf>
    <xf numFmtId="3" fontId="53" fillId="21" borderId="712" xfId="1" applyNumberFormat="1" applyFont="1" applyFill="1" applyBorder="1" applyAlignment="1">
      <alignment vertical="center"/>
    </xf>
    <xf numFmtId="3" fontId="53" fillId="21" borderId="705" xfId="1" applyNumberFormat="1" applyFont="1" applyFill="1" applyBorder="1" applyAlignment="1">
      <alignment vertical="center"/>
    </xf>
    <xf numFmtId="0" fontId="25" fillId="0" borderId="57" xfId="1" applyFont="1" applyBorder="1" applyAlignment="1">
      <alignment vertical="center" wrapText="1"/>
    </xf>
    <xf numFmtId="0" fontId="104" fillId="0" borderId="0" xfId="1" applyFont="1" applyAlignment="1">
      <alignment horizontal="left"/>
    </xf>
    <xf numFmtId="49" fontId="108" fillId="0" borderId="14" xfId="1" applyNumberFormat="1" applyFont="1" applyBorder="1" applyAlignment="1">
      <alignment vertical="center"/>
    </xf>
    <xf numFmtId="0" fontId="109" fillId="0" borderId="720" xfId="1" applyFont="1" applyBorder="1" applyAlignment="1">
      <alignment vertical="center" wrapText="1"/>
    </xf>
    <xf numFmtId="0" fontId="108" fillId="0" borderId="720" xfId="1" applyFont="1" applyBorder="1" applyAlignment="1">
      <alignment vertical="center"/>
    </xf>
    <xf numFmtId="49" fontId="108" fillId="0" borderId="720" xfId="1" applyNumberFormat="1" applyFont="1" applyBorder="1" applyAlignment="1">
      <alignment vertical="center"/>
    </xf>
    <xf numFmtId="49" fontId="108" fillId="0" borderId="281" xfId="1" applyNumberFormat="1" applyFont="1" applyBorder="1" applyAlignment="1">
      <alignment vertical="center"/>
    </xf>
    <xf numFmtId="0" fontId="109" fillId="0" borderId="57" xfId="1" applyFont="1" applyBorder="1" applyAlignment="1">
      <alignment vertical="center" wrapText="1"/>
    </xf>
    <xf numFmtId="0" fontId="108" fillId="0" borderId="57" xfId="1" applyFont="1" applyBorder="1" applyAlignment="1">
      <alignment vertical="center"/>
    </xf>
    <xf numFmtId="49" fontId="108" fillId="0" borderId="57" xfId="1" applyNumberFormat="1" applyFont="1" applyBorder="1" applyAlignment="1">
      <alignment vertical="center"/>
    </xf>
    <xf numFmtId="0" fontId="104" fillId="0" borderId="0" xfId="1" applyFont="1" applyAlignment="1">
      <alignment horizontal="center" vertical="center"/>
    </xf>
    <xf numFmtId="3" fontId="57" fillId="0" borderId="0" xfId="1" applyNumberFormat="1" applyFont="1"/>
    <xf numFmtId="49" fontId="72" fillId="0" borderId="0" xfId="1" applyNumberFormat="1" applyFont="1" applyAlignment="1">
      <alignment horizontal="center"/>
    </xf>
    <xf numFmtId="3" fontId="72" fillId="0" borderId="0" xfId="1" applyNumberFormat="1" applyFont="1" applyAlignment="1">
      <alignment horizontal="center"/>
    </xf>
    <xf numFmtId="49" fontId="104" fillId="0" borderId="0" xfId="1" applyNumberFormat="1" applyFont="1" applyAlignment="1">
      <alignment horizontal="center"/>
    </xf>
    <xf numFmtId="0" fontId="107" fillId="0" borderId="0" xfId="1" applyFont="1" applyAlignment="1">
      <alignment horizontal="center"/>
    </xf>
    <xf numFmtId="49" fontId="41" fillId="0" borderId="0" xfId="1" applyNumberFormat="1" applyFont="1" applyAlignment="1">
      <alignment horizontal="center" vertical="center"/>
    </xf>
    <xf numFmtId="0" fontId="57" fillId="0" borderId="0" xfId="1" applyFont="1"/>
    <xf numFmtId="0" fontId="72" fillId="0" borderId="0" xfId="1" applyFont="1" applyAlignment="1">
      <alignment horizontal="right"/>
    </xf>
    <xf numFmtId="49" fontId="108" fillId="0" borderId="712" xfId="1" applyNumberFormat="1" applyFont="1" applyBorder="1" applyAlignment="1">
      <alignment horizontal="center" vertical="center" wrapText="1"/>
    </xf>
    <xf numFmtId="3" fontId="11" fillId="20" borderId="35" xfId="1" applyNumberFormat="1" applyFont="1" applyFill="1" applyBorder="1" applyAlignment="1">
      <alignment vertical="center"/>
    </xf>
    <xf numFmtId="3" fontId="11" fillId="20" borderId="42" xfId="1" applyNumberFormat="1" applyFont="1" applyFill="1" applyBorder="1" applyAlignment="1">
      <alignment vertical="center"/>
    </xf>
    <xf numFmtId="0" fontId="33" fillId="0" borderId="0" xfId="1" applyFont="1" applyAlignment="1">
      <alignment horizontal="center"/>
    </xf>
    <xf numFmtId="3" fontId="33" fillId="0" borderId="0" xfId="1" applyNumberFormat="1" applyFont="1"/>
    <xf numFmtId="0" fontId="53" fillId="0" borderId="0" xfId="1" applyFont="1" applyAlignment="1">
      <alignment horizontal="right" vertical="center"/>
    </xf>
    <xf numFmtId="3" fontId="116" fillId="0" borderId="0" xfId="1" applyNumberFormat="1" applyFont="1"/>
    <xf numFmtId="0" fontId="15" fillId="0" borderId="0" xfId="1" applyFont="1" applyAlignment="1">
      <alignment horizontal="right" vertical="center"/>
    </xf>
    <xf numFmtId="0" fontId="5" fillId="0" borderId="0" xfId="1" applyFont="1" applyAlignment="1">
      <alignment horizontal="center"/>
    </xf>
    <xf numFmtId="0" fontId="9" fillId="0" borderId="0" xfId="1" applyFont="1" applyBorder="1" applyAlignment="1">
      <alignment horizontal="right" vertical="center"/>
    </xf>
    <xf numFmtId="3" fontId="117" fillId="0" borderId="0" xfId="1" applyNumberFormat="1" applyFont="1"/>
    <xf numFmtId="0" fontId="8" fillId="0" borderId="0" xfId="1" applyFont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9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31" fillId="0" borderId="0" xfId="1" applyFont="1" applyAlignment="1">
      <alignment horizontal="left"/>
    </xf>
    <xf numFmtId="3" fontId="79" fillId="0" borderId="0" xfId="1" applyNumberFormat="1" applyFont="1"/>
    <xf numFmtId="0" fontId="53" fillId="0" borderId="0" xfId="1" applyFont="1" applyAlignment="1">
      <alignment horizontal="right"/>
    </xf>
    <xf numFmtId="0" fontId="15" fillId="0" borderId="0" xfId="1" applyFont="1" applyAlignment="1">
      <alignment horizontal="right"/>
    </xf>
    <xf numFmtId="0" fontId="14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53" fillId="0" borderId="0" xfId="1" applyFont="1" applyAlignment="1">
      <alignment horizontal="left"/>
    </xf>
    <xf numFmtId="3" fontId="32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0" fontId="11" fillId="3" borderId="712" xfId="1" applyFont="1" applyFill="1" applyBorder="1" applyAlignment="1">
      <alignment horizontal="center" vertical="center"/>
    </xf>
    <xf numFmtId="0" fontId="7" fillId="0" borderId="712" xfId="1" applyFont="1" applyBorder="1" applyAlignment="1">
      <alignment horizontal="center" vertical="center"/>
    </xf>
    <xf numFmtId="3" fontId="7" fillId="0" borderId="712" xfId="1" applyNumberFormat="1" applyFont="1" applyBorder="1" applyAlignment="1">
      <alignment horizontal="right" vertical="center"/>
    </xf>
    <xf numFmtId="3" fontId="7" fillId="0" borderId="712" xfId="1" applyNumberFormat="1" applyFont="1" applyBorder="1" applyAlignment="1">
      <alignment vertical="center" wrapText="1"/>
    </xf>
    <xf numFmtId="3" fontId="11" fillId="3" borderId="724" xfId="1" applyNumberFormat="1" applyFont="1" applyFill="1" applyBorder="1" applyAlignment="1">
      <alignment horizontal="right" vertical="center"/>
    </xf>
    <xf numFmtId="3" fontId="11" fillId="3" borderId="675" xfId="1" applyNumberFormat="1" applyFont="1" applyFill="1" applyBorder="1" applyAlignment="1">
      <alignment vertical="center"/>
    </xf>
    <xf numFmtId="49" fontId="11" fillId="0" borderId="0" xfId="1" applyNumberFormat="1" applyFont="1" applyAlignment="1">
      <alignment horizontal="center" vertical="center"/>
    </xf>
    <xf numFmtId="3" fontId="11" fillId="0" borderId="0" xfId="1" applyNumberFormat="1" applyFont="1" applyAlignment="1">
      <alignment horizontal="right" vertical="center"/>
    </xf>
    <xf numFmtId="3" fontId="11" fillId="0" borderId="0" xfId="1" applyNumberFormat="1" applyFont="1" applyAlignment="1">
      <alignment vertical="center"/>
    </xf>
    <xf numFmtId="0" fontId="7" fillId="0" borderId="729" xfId="1" applyFont="1" applyBorder="1" applyAlignment="1">
      <alignment horizontal="center" vertical="center"/>
    </xf>
    <xf numFmtId="3" fontId="7" fillId="0" borderId="709" xfId="1" applyNumberFormat="1" applyFont="1" applyBorder="1" applyAlignment="1">
      <alignment horizontal="left" vertical="center" wrapText="1"/>
    </xf>
    <xf numFmtId="0" fontId="116" fillId="0" borderId="0" xfId="1" applyFont="1" applyFill="1" applyBorder="1"/>
    <xf numFmtId="3" fontId="33" fillId="0" borderId="0" xfId="1" applyNumberFormat="1" applyFont="1" applyBorder="1" applyAlignment="1"/>
    <xf numFmtId="3" fontId="33" fillId="0" borderId="0" xfId="1" applyNumberFormat="1" applyFont="1" applyBorder="1"/>
    <xf numFmtId="0" fontId="116" fillId="0" borderId="0" xfId="1" applyFont="1" applyFill="1"/>
    <xf numFmtId="3" fontId="5" fillId="0" borderId="0" xfId="1" applyNumberFormat="1" applyAlignment="1"/>
    <xf numFmtId="0" fontId="116" fillId="0" borderId="0" xfId="1" applyFont="1" applyBorder="1"/>
    <xf numFmtId="0" fontId="116" fillId="0" borderId="0" xfId="1" applyFont="1"/>
    <xf numFmtId="3" fontId="57" fillId="0" borderId="0" xfId="1" applyNumberFormat="1" applyFont="1" applyBorder="1"/>
    <xf numFmtId="0" fontId="116" fillId="0" borderId="0" xfId="1" applyFont="1" applyBorder="1" applyAlignment="1">
      <alignment horizontal="right"/>
    </xf>
    <xf numFmtId="3" fontId="116" fillId="0" borderId="0" xfId="1" applyNumberFormat="1" applyFont="1" applyBorder="1"/>
    <xf numFmtId="0" fontId="33" fillId="0" borderId="0" xfId="1" applyFont="1" applyBorder="1"/>
    <xf numFmtId="0" fontId="116" fillId="0" borderId="0" xfId="1" applyFont="1" applyAlignment="1">
      <alignment horizontal="right"/>
    </xf>
    <xf numFmtId="3" fontId="32" fillId="0" borderId="0" xfId="1" applyNumberFormat="1" applyFont="1" applyAlignment="1"/>
    <xf numFmtId="0" fontId="117" fillId="0" borderId="0" xfId="1" applyFont="1"/>
    <xf numFmtId="3" fontId="33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0" fontId="7" fillId="0" borderId="14" xfId="1" applyFont="1" applyFill="1" applyBorder="1" applyAlignment="1">
      <alignment horizontal="center" vertical="center"/>
    </xf>
    <xf numFmtId="0" fontId="7" fillId="0" borderId="712" xfId="1" applyFont="1" applyFill="1" applyBorder="1" applyAlignment="1">
      <alignment horizontal="center" vertical="center"/>
    </xf>
    <xf numFmtId="0" fontId="7" fillId="0" borderId="715" xfId="1" applyFont="1" applyFill="1" applyBorder="1" applyAlignment="1">
      <alignment horizontal="center" vertical="center"/>
    </xf>
    <xf numFmtId="3" fontId="7" fillId="0" borderId="715" xfId="1" applyNumberFormat="1" applyFont="1" applyFill="1" applyBorder="1" applyAlignment="1">
      <alignment horizontal="right" vertical="center" wrapText="1"/>
    </xf>
    <xf numFmtId="3" fontId="7" fillId="0" borderId="715" xfId="1" applyNumberFormat="1" applyFont="1" applyFill="1" applyBorder="1" applyAlignment="1">
      <alignment horizontal="right" vertical="center"/>
    </xf>
    <xf numFmtId="0" fontId="7" fillId="0" borderId="709" xfId="1" applyFont="1" applyFill="1" applyBorder="1" applyAlignment="1">
      <alignment vertical="center" wrapText="1"/>
    </xf>
    <xf numFmtId="0" fontId="7" fillId="0" borderId="729" xfId="1" applyFont="1" applyFill="1" applyBorder="1" applyAlignment="1">
      <alignment horizontal="center" vertical="center"/>
    </xf>
    <xf numFmtId="3" fontId="7" fillId="0" borderId="712" xfId="1" applyNumberFormat="1" applyFont="1" applyFill="1" applyBorder="1" applyAlignment="1">
      <alignment horizontal="right" vertical="center" wrapText="1"/>
    </xf>
    <xf numFmtId="3" fontId="7" fillId="0" borderId="712" xfId="1" applyNumberFormat="1" applyFont="1" applyFill="1" applyBorder="1" applyAlignment="1">
      <alignment horizontal="right" vertical="center"/>
    </xf>
    <xf numFmtId="0" fontId="7" fillId="0" borderId="57" xfId="1" applyFont="1" applyFill="1" applyBorder="1" applyAlignment="1">
      <alignment horizontal="center" vertical="center"/>
    </xf>
    <xf numFmtId="3" fontId="7" fillId="0" borderId="57" xfId="1" applyNumberFormat="1" applyFont="1" applyFill="1" applyBorder="1" applyAlignment="1">
      <alignment horizontal="right" vertical="center"/>
    </xf>
    <xf numFmtId="0" fontId="33" fillId="0" borderId="0" xfId="1" applyFont="1" applyAlignment="1">
      <alignment horizontal="left"/>
    </xf>
    <xf numFmtId="0" fontId="7" fillId="0" borderId="727" xfId="1" applyFont="1" applyFill="1" applyBorder="1" applyAlignment="1">
      <alignment horizontal="center" vertical="center"/>
    </xf>
    <xf numFmtId="3" fontId="55" fillId="0" borderId="0" xfId="1" applyNumberFormat="1" applyFont="1"/>
    <xf numFmtId="3" fontId="7" fillId="0" borderId="714" xfId="1" applyNumberFormat="1" applyFont="1" applyFill="1" applyBorder="1" applyAlignment="1">
      <alignment horizontal="right" vertical="center"/>
    </xf>
    <xf numFmtId="3" fontId="7" fillId="0" borderId="714" xfId="1" applyNumberFormat="1" applyFont="1" applyFill="1" applyBorder="1" applyAlignment="1">
      <alignment horizontal="right" vertical="center" wrapText="1"/>
    </xf>
    <xf numFmtId="3" fontId="11" fillId="3" borderId="711" xfId="1" applyNumberFormat="1" applyFont="1" applyFill="1" applyBorder="1" applyAlignment="1">
      <alignment horizontal="right" vertical="center"/>
    </xf>
    <xf numFmtId="3" fontId="51" fillId="0" borderId="0" xfId="1" applyNumberFormat="1" applyFont="1"/>
    <xf numFmtId="0" fontId="5" fillId="0" borderId="0" xfId="1" applyFont="1" applyAlignment="1">
      <alignment horizontal="right"/>
    </xf>
    <xf numFmtId="3" fontId="5" fillId="0" borderId="712" xfId="1" applyNumberFormat="1" applyFont="1" applyFill="1" applyBorder="1" applyAlignment="1">
      <alignment horizontal="right" vertical="center"/>
    </xf>
    <xf numFmtId="3" fontId="7" fillId="0" borderId="709" xfId="1" applyNumberFormat="1" applyFont="1" applyFill="1" applyBorder="1" applyAlignment="1">
      <alignment horizontal="left" vertical="center" wrapText="1"/>
    </xf>
    <xf numFmtId="0" fontId="7" fillId="0" borderId="705" xfId="1" applyFont="1" applyFill="1" applyBorder="1" applyAlignment="1">
      <alignment horizontal="left" vertical="center" wrapText="1"/>
    </xf>
    <xf numFmtId="3" fontId="116" fillId="0" borderId="0" xfId="1" applyNumberFormat="1" applyFont="1" applyAlignment="1">
      <alignment vertical="center"/>
    </xf>
    <xf numFmtId="3" fontId="33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right"/>
    </xf>
    <xf numFmtId="3" fontId="51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7" fillId="0" borderId="712" xfId="1" applyNumberFormat="1" applyFont="1" applyBorder="1" applyAlignment="1">
      <alignment horizontal="right" vertical="center" wrapText="1"/>
    </xf>
    <xf numFmtId="49" fontId="7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vertical="center"/>
    </xf>
    <xf numFmtId="0" fontId="5" fillId="0" borderId="0" xfId="1" applyFont="1" applyFill="1"/>
    <xf numFmtId="3" fontId="5" fillId="0" borderId="0" xfId="1" applyNumberFormat="1" applyFont="1" applyBorder="1"/>
    <xf numFmtId="0" fontId="5" fillId="0" borderId="0" xfId="1" applyFont="1" applyBorder="1"/>
    <xf numFmtId="49" fontId="88" fillId="0" borderId="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6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88" fillId="0" borderId="72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21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673" xfId="10" applyNumberFormat="1" applyFont="1" applyFill="1" applyBorder="1" applyAlignment="1" applyProtection="1">
      <alignment vertical="center"/>
      <protection locked="0"/>
    </xf>
    <xf numFmtId="49" fontId="88" fillId="14" borderId="731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732" xfId="10" applyNumberFormat="1" applyFont="1" applyFill="1" applyBorder="1" applyAlignment="1" applyProtection="1">
      <alignment horizontal="right" vertical="center"/>
      <protection locked="0"/>
    </xf>
    <xf numFmtId="0" fontId="0" fillId="4" borderId="6" xfId="0" applyFill="1" applyBorder="1" applyAlignment="1">
      <alignment horizontal="center" vertical="center" wrapText="1"/>
    </xf>
    <xf numFmtId="49" fontId="88" fillId="14" borderId="73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34" xfId="10" applyNumberFormat="1" applyFont="1" applyFill="1" applyBorder="1" applyAlignment="1" applyProtection="1">
      <alignment horizontal="left" vertical="center" wrapText="1"/>
      <protection locked="0"/>
    </xf>
    <xf numFmtId="49" fontId="95" fillId="16" borderId="735" xfId="10" applyNumberFormat="1" applyFont="1" applyFill="1" applyBorder="1" applyAlignment="1" applyProtection="1">
      <alignment horizontal="left" vertical="center" wrapText="1"/>
      <protection locked="0"/>
    </xf>
    <xf numFmtId="3" fontId="89" fillId="0" borderId="702" xfId="10" applyNumberFormat="1" applyFont="1" applyFill="1" applyBorder="1" applyAlignment="1" applyProtection="1">
      <alignment horizontal="right" vertical="center"/>
      <protection locked="0"/>
    </xf>
    <xf numFmtId="49" fontId="88" fillId="14" borderId="73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3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40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9" xfId="10" applyNumberFormat="1" applyFont="1" applyFill="1" applyBorder="1" applyAlignment="1" applyProtection="1">
      <alignment vertical="center" wrapText="1"/>
      <protection locked="0"/>
    </xf>
    <xf numFmtId="49" fontId="88" fillId="14" borderId="74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42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" xfId="10" applyNumberFormat="1" applyFont="1" applyFill="1" applyBorder="1" applyAlignment="1" applyProtection="1">
      <alignment vertical="center" wrapText="1"/>
      <protection locked="0"/>
    </xf>
    <xf numFmtId="49" fontId="88" fillId="0" borderId="711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725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65" xfId="10" applyNumberFormat="1" applyFont="1" applyFill="1" applyBorder="1" applyAlignment="1" applyProtection="1">
      <alignment horizontal="right" vertical="center" wrapText="1"/>
      <protection locked="0"/>
    </xf>
    <xf numFmtId="49" fontId="88" fillId="14" borderId="74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44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3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29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745" xfId="10" applyNumberFormat="1" applyFont="1" applyFill="1" applyBorder="1" applyAlignment="1" applyProtection="1">
      <alignment horizontal="left" vertical="center" wrapText="1"/>
      <protection locked="0"/>
    </xf>
    <xf numFmtId="3" fontId="88" fillId="4" borderId="702" xfId="10" applyNumberFormat="1" applyFont="1" applyFill="1" applyBorder="1" applyAlignment="1" applyProtection="1">
      <alignment horizontal="right" vertical="center"/>
      <protection locked="0"/>
    </xf>
    <xf numFmtId="49" fontId="88" fillId="14" borderId="1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0" xfId="10" applyNumberFormat="1" applyFont="1" applyFill="1" applyBorder="1" applyAlignment="1" applyProtection="1">
      <alignment vertical="center" wrapText="1"/>
      <protection locked="0"/>
    </xf>
    <xf numFmtId="49" fontId="88" fillId="14" borderId="610" xfId="10" applyNumberFormat="1" applyFont="1" applyFill="1" applyBorder="1" applyAlignment="1" applyProtection="1">
      <alignment horizontal="center" vertical="center" wrapText="1"/>
      <protection locked="0"/>
    </xf>
    <xf numFmtId="2" fontId="88" fillId="0" borderId="10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746" xfId="10" applyNumberFormat="1" applyFont="1" applyFill="1" applyBorder="1" applyAlignment="1" applyProtection="1">
      <alignment horizontal="right" vertical="center"/>
      <protection locked="0"/>
    </xf>
    <xf numFmtId="2" fontId="88" fillId="0" borderId="710" xfId="10" applyNumberFormat="1" applyFont="1" applyFill="1" applyBorder="1" applyAlignment="1" applyProtection="1">
      <alignment horizontal="left" vertical="center" wrapText="1"/>
      <protection locked="0"/>
    </xf>
    <xf numFmtId="3" fontId="89" fillId="0" borderId="747" xfId="10" applyNumberFormat="1" applyFont="1" applyFill="1" applyBorder="1" applyAlignment="1" applyProtection="1">
      <alignment vertical="center"/>
      <protection locked="0"/>
    </xf>
    <xf numFmtId="49" fontId="88" fillId="14" borderId="74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50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747" xfId="10" applyNumberFormat="1" applyFont="1" applyFill="1" applyBorder="1" applyAlignment="1" applyProtection="1">
      <alignment horizontal="right" vertical="center"/>
      <protection locked="0"/>
    </xf>
    <xf numFmtId="49" fontId="88" fillId="14" borderId="75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52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5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54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747" xfId="10" applyNumberFormat="1" applyFont="1" applyFill="1" applyBorder="1" applyAlignment="1" applyProtection="1">
      <alignment vertical="center"/>
      <protection locked="0"/>
    </xf>
    <xf numFmtId="3" fontId="88" fillId="0" borderId="756" xfId="10" applyNumberFormat="1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88" fillId="0" borderId="758" xfId="10" applyNumberFormat="1" applyFont="1" applyFill="1" applyBorder="1" applyAlignment="1" applyProtection="1">
      <alignment horizontal="right" vertical="center"/>
      <protection locked="0"/>
    </xf>
    <xf numFmtId="3" fontId="89" fillId="0" borderId="747" xfId="10" applyNumberFormat="1" applyFont="1" applyFill="1" applyBorder="1" applyAlignment="1" applyProtection="1">
      <alignment horizontal="right" vertical="center"/>
      <protection locked="0"/>
    </xf>
    <xf numFmtId="3" fontId="91" fillId="0" borderId="747" xfId="10" applyNumberFormat="1" applyFont="1" applyFill="1" applyBorder="1" applyAlignment="1" applyProtection="1">
      <alignment horizontal="right" vertical="center"/>
      <protection locked="0"/>
    </xf>
    <xf numFmtId="0" fontId="88" fillId="0" borderId="710" xfId="10" applyNumberFormat="1" applyFont="1" applyFill="1" applyBorder="1" applyAlignment="1" applyProtection="1">
      <alignment vertical="center"/>
      <protection locked="0"/>
    </xf>
    <xf numFmtId="0" fontId="88" fillId="0" borderId="65" xfId="10" applyNumberFormat="1" applyFont="1" applyFill="1" applyBorder="1" applyAlignment="1" applyProtection="1">
      <alignment vertical="center"/>
      <protection locked="0"/>
    </xf>
    <xf numFmtId="49" fontId="88" fillId="18" borderId="751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757" xfId="10" applyNumberFormat="1" applyFont="1" applyFill="1" applyBorder="1" applyAlignment="1" applyProtection="1">
      <alignment horizontal="left" vertical="center" wrapText="1"/>
      <protection locked="0"/>
    </xf>
    <xf numFmtId="49" fontId="89" fillId="18" borderId="10" xfId="1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49" fontId="88" fillId="14" borderId="759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756" xfId="10" applyNumberFormat="1" applyFont="1" applyFill="1" applyBorder="1" applyAlignment="1" applyProtection="1">
      <alignment horizontal="right" vertical="center"/>
      <protection locked="0"/>
    </xf>
    <xf numFmtId="49" fontId="88" fillId="14" borderId="76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61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751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76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6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6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6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6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68" xfId="10" applyNumberFormat="1" applyFont="1" applyFill="1" applyBorder="1" applyAlignment="1" applyProtection="1">
      <alignment vertical="center" wrapText="1"/>
      <protection locked="0"/>
    </xf>
    <xf numFmtId="49" fontId="88" fillId="14" borderId="769" xfId="10" applyNumberFormat="1" applyFont="1" applyFill="1" applyBorder="1" applyAlignment="1" applyProtection="1">
      <alignment vertical="center" wrapText="1"/>
      <protection locked="0"/>
    </xf>
    <xf numFmtId="49" fontId="88" fillId="14" borderId="702" xfId="10" applyNumberFormat="1" applyFont="1" applyFill="1" applyBorder="1" applyAlignment="1" applyProtection="1">
      <alignment vertical="center" wrapText="1"/>
      <protection locked="0"/>
    </xf>
    <xf numFmtId="3" fontId="89" fillId="0" borderId="774" xfId="10" applyNumberFormat="1" applyFont="1" applyFill="1" applyBorder="1" applyAlignment="1" applyProtection="1">
      <alignment horizontal="right" vertical="center"/>
      <protection locked="0"/>
    </xf>
    <xf numFmtId="3" fontId="88" fillId="0" borderId="775" xfId="10" applyNumberFormat="1" applyFont="1" applyFill="1" applyBorder="1" applyAlignment="1" applyProtection="1">
      <alignment horizontal="right" vertical="center"/>
      <protection locked="0"/>
    </xf>
    <xf numFmtId="49" fontId="88" fillId="0" borderId="752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776" xfId="10" applyNumberFormat="1" applyFont="1" applyFill="1" applyBorder="1" applyAlignment="1" applyProtection="1">
      <alignment horizontal="left" vertical="center" wrapText="1"/>
      <protection locked="0"/>
    </xf>
    <xf numFmtId="3" fontId="91" fillId="0" borderId="775" xfId="10" applyNumberFormat="1" applyFont="1" applyFill="1" applyBorder="1" applyAlignment="1" applyProtection="1">
      <alignment horizontal="right" vertical="center"/>
      <protection locked="0"/>
    </xf>
    <xf numFmtId="3" fontId="88" fillId="0" borderId="777" xfId="10" applyNumberFormat="1" applyFont="1" applyFill="1" applyBorder="1" applyAlignment="1" applyProtection="1">
      <alignment horizontal="right" vertical="center"/>
      <protection locked="0"/>
    </xf>
    <xf numFmtId="3" fontId="88" fillId="0" borderId="778" xfId="10" applyNumberFormat="1" applyFont="1" applyFill="1" applyBorder="1" applyAlignment="1" applyProtection="1">
      <alignment horizontal="right" vertical="center"/>
      <protection locked="0"/>
    </xf>
    <xf numFmtId="49" fontId="88" fillId="14" borderId="706" xfId="10" applyNumberFormat="1" applyFont="1" applyFill="1" applyBorder="1" applyAlignment="1" applyProtection="1">
      <alignment vertical="center" wrapText="1"/>
      <protection locked="0"/>
    </xf>
    <xf numFmtId="49" fontId="88" fillId="14" borderId="779" xfId="10" applyNumberFormat="1" applyFont="1" applyFill="1" applyBorder="1" applyAlignment="1" applyProtection="1">
      <alignment vertical="center" wrapText="1"/>
      <protection locked="0"/>
    </xf>
    <xf numFmtId="49" fontId="88" fillId="14" borderId="778" xfId="10" applyNumberFormat="1" applyFont="1" applyFill="1" applyBorder="1" applyAlignment="1" applyProtection="1">
      <alignment vertical="center" wrapText="1"/>
      <protection locked="0"/>
    </xf>
    <xf numFmtId="49" fontId="88" fillId="14" borderId="78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82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83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784" xfId="10" applyNumberFormat="1" applyFont="1" applyFill="1" applyBorder="1" applyAlignment="1" applyProtection="1">
      <alignment horizontal="right" vertical="center"/>
      <protection locked="0"/>
    </xf>
    <xf numFmtId="49" fontId="61" fillId="14" borderId="782" xfId="10" applyNumberFormat="1" applyFont="1" applyFill="1" applyBorder="1" applyAlignment="1" applyProtection="1">
      <alignment horizontal="left" vertical="center" wrapText="1"/>
      <protection locked="0"/>
    </xf>
    <xf numFmtId="0" fontId="7" fillId="4" borderId="6" xfId="1" applyFont="1" applyFill="1" applyBorder="1" applyAlignment="1">
      <alignment horizontal="left" vertical="center" wrapText="1"/>
    </xf>
    <xf numFmtId="0" fontId="11" fillId="0" borderId="74" xfId="4" applyFont="1" applyBorder="1" applyAlignment="1">
      <alignment horizontal="center" vertical="center"/>
    </xf>
    <xf numFmtId="0" fontId="11" fillId="0" borderId="75" xfId="4" applyFont="1" applyBorder="1" applyAlignment="1">
      <alignment horizontal="center" vertical="center"/>
    </xf>
    <xf numFmtId="0" fontId="7" fillId="0" borderId="9" xfId="4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65" xfId="1" applyFont="1" applyBorder="1" applyAlignment="1">
      <alignment horizontal="left" vertical="center" wrapText="1"/>
    </xf>
    <xf numFmtId="49" fontId="29" fillId="0" borderId="719" xfId="1" applyNumberFormat="1" applyFont="1" applyBorder="1" applyAlignment="1">
      <alignment horizontal="center" vertical="center" wrapText="1"/>
    </xf>
    <xf numFmtId="3" fontId="29" fillId="0" borderId="719" xfId="1" applyNumberFormat="1" applyFont="1" applyBorder="1" applyAlignment="1">
      <alignment horizontal="right" vertical="center"/>
    </xf>
    <xf numFmtId="3" fontId="29" fillId="0" borderId="719" xfId="1" applyNumberFormat="1" applyFont="1" applyBorder="1" applyAlignment="1">
      <alignment horizontal="center" vertical="center" wrapText="1"/>
    </xf>
    <xf numFmtId="0" fontId="29" fillId="0" borderId="785" xfId="1" applyFont="1" applyBorder="1" applyAlignment="1">
      <alignment horizontal="left" vertical="center" wrapText="1"/>
    </xf>
    <xf numFmtId="3" fontId="31" fillId="3" borderId="787" xfId="1" applyNumberFormat="1" applyFont="1" applyFill="1" applyBorder="1" applyAlignment="1">
      <alignment horizontal="right" vertical="center"/>
    </xf>
    <xf numFmtId="0" fontId="29" fillId="3" borderId="788" xfId="1" applyFont="1" applyFill="1" applyBorder="1"/>
    <xf numFmtId="3" fontId="28" fillId="3" borderId="789" xfId="1" applyNumberFormat="1" applyFont="1" applyFill="1" applyBorder="1" applyAlignment="1">
      <alignment horizontal="right" vertical="center"/>
    </xf>
    <xf numFmtId="3" fontId="28" fillId="0" borderId="85" xfId="1" applyNumberFormat="1" applyFont="1" applyBorder="1" applyAlignment="1">
      <alignment horizontal="right" vertical="center"/>
    </xf>
    <xf numFmtId="49" fontId="29" fillId="0" borderId="13" xfId="1" applyNumberFormat="1" applyFont="1" applyBorder="1" applyAlignment="1">
      <alignment horizontal="center" vertical="center"/>
    </xf>
    <xf numFmtId="49" fontId="29" fillId="0" borderId="785" xfId="1" applyNumberFormat="1" applyFont="1" applyBorder="1" applyAlignment="1">
      <alignment horizontal="center" vertical="center" wrapText="1"/>
    </xf>
    <xf numFmtId="3" fontId="29" fillId="3" borderId="787" xfId="1" applyNumberFormat="1" applyFont="1" applyFill="1" applyBorder="1" applyAlignment="1">
      <alignment horizontal="right" vertical="center"/>
    </xf>
    <xf numFmtId="3" fontId="28" fillId="3" borderId="85" xfId="1" applyNumberFormat="1" applyFont="1" applyFill="1" applyBorder="1" applyAlignment="1">
      <alignment horizontal="right" vertical="center"/>
    </xf>
    <xf numFmtId="3" fontId="29" fillId="3" borderId="719" xfId="1" applyNumberFormat="1" applyFont="1" applyFill="1" applyBorder="1" applyAlignment="1">
      <alignment horizontal="right" vertical="center"/>
    </xf>
    <xf numFmtId="3" fontId="31" fillId="3" borderId="719" xfId="1" applyNumberFormat="1" applyFont="1" applyFill="1" applyBorder="1" applyAlignment="1">
      <alignment horizontal="right" vertical="center"/>
    </xf>
    <xf numFmtId="0" fontId="29" fillId="3" borderId="785" xfId="1" applyFont="1" applyFill="1" applyBorder="1"/>
    <xf numFmtId="0" fontId="28" fillId="0" borderId="13" xfId="1" applyFont="1" applyFill="1" applyBorder="1" applyAlignment="1">
      <alignment horizontal="center" vertical="center" wrapText="1"/>
    </xf>
    <xf numFmtId="0" fontId="29" fillId="0" borderId="719" xfId="1" applyFont="1" applyFill="1" applyBorder="1" applyAlignment="1">
      <alignment horizontal="center" vertical="center" wrapText="1"/>
    </xf>
    <xf numFmtId="0" fontId="29" fillId="0" borderId="785" xfId="1" applyFont="1" applyFill="1" applyBorder="1" applyAlignment="1">
      <alignment horizontal="center" vertical="center" wrapText="1"/>
    </xf>
    <xf numFmtId="3" fontId="28" fillId="0" borderId="85" xfId="1" applyNumberFormat="1" applyFont="1" applyFill="1" applyBorder="1" applyAlignment="1">
      <alignment horizontal="right" vertical="center"/>
    </xf>
    <xf numFmtId="3" fontId="29" fillId="0" borderId="719" xfId="1" applyNumberFormat="1" applyFont="1" applyFill="1" applyBorder="1" applyAlignment="1">
      <alignment horizontal="right" vertical="center"/>
    </xf>
    <xf numFmtId="0" fontId="29" fillId="0" borderId="785" xfId="1" applyFont="1" applyFill="1" applyBorder="1" applyAlignment="1">
      <alignment vertical="center" wrapText="1"/>
    </xf>
    <xf numFmtId="0" fontId="61" fillId="4" borderId="8" xfId="14" quotePrefix="1" applyFont="1" applyFill="1" applyBorder="1" applyAlignment="1">
      <alignment horizontal="left" vertical="center" wrapText="1"/>
    </xf>
    <xf numFmtId="0" fontId="7" fillId="4" borderId="789" xfId="1" applyNumberFormat="1" applyFont="1" applyFill="1" applyBorder="1" applyAlignment="1">
      <alignment horizontal="center" vertical="center"/>
    </xf>
    <xf numFmtId="3" fontId="7" fillId="4" borderId="787" xfId="1" applyNumberFormat="1" applyFont="1" applyFill="1" applyBorder="1" applyAlignment="1">
      <alignment horizontal="right" vertical="center" wrapText="1"/>
    </xf>
    <xf numFmtId="3" fontId="7" fillId="4" borderId="790" xfId="1" applyNumberFormat="1" applyFont="1" applyFill="1" applyBorder="1" applyAlignment="1">
      <alignment horizontal="right" vertical="center" wrapText="1"/>
    </xf>
    <xf numFmtId="3" fontId="13" fillId="4" borderId="787" xfId="1" applyNumberFormat="1" applyFont="1" applyFill="1" applyBorder="1" applyAlignment="1">
      <alignment horizontal="right" vertical="center" wrapText="1"/>
    </xf>
    <xf numFmtId="3" fontId="35" fillId="4" borderId="790" xfId="0" applyNumberFormat="1" applyFont="1" applyFill="1" applyBorder="1" applyAlignment="1">
      <alignment vertical="center"/>
    </xf>
    <xf numFmtId="3" fontId="13" fillId="4" borderId="791" xfId="1" applyNumberFormat="1" applyFont="1" applyFill="1" applyBorder="1" applyAlignment="1">
      <alignment horizontal="right" vertical="center" wrapText="1"/>
    </xf>
    <xf numFmtId="3" fontId="35" fillId="4" borderId="792" xfId="0" applyNumberFormat="1" applyFont="1" applyFill="1" applyBorder="1" applyAlignment="1">
      <alignment vertical="center"/>
    </xf>
    <xf numFmtId="0" fontId="7" fillId="0" borderId="789" xfId="4" applyNumberFormat="1" applyFont="1" applyBorder="1" applyAlignment="1">
      <alignment horizontal="center" vertical="center"/>
    </xf>
    <xf numFmtId="3" fontId="7" fillId="4" borderId="787" xfId="4" applyNumberFormat="1" applyFont="1" applyFill="1" applyBorder="1" applyAlignment="1">
      <alignment vertical="center"/>
    </xf>
    <xf numFmtId="3" fontId="7" fillId="4" borderId="790" xfId="4" applyNumberFormat="1" applyFont="1" applyFill="1" applyBorder="1" applyAlignment="1">
      <alignment vertical="center"/>
    </xf>
    <xf numFmtId="0" fontId="7" fillId="0" borderId="7" xfId="4" applyFont="1" applyBorder="1" applyAlignment="1">
      <alignment vertical="center" wrapText="1"/>
    </xf>
    <xf numFmtId="3" fontId="7" fillId="4" borderId="791" xfId="1" applyNumberFormat="1" applyFont="1" applyFill="1" applyBorder="1" applyAlignment="1">
      <alignment horizontal="right" vertical="center"/>
    </xf>
    <xf numFmtId="3" fontId="7" fillId="4" borderId="792" xfId="1" applyNumberFormat="1" applyFont="1" applyFill="1" applyBorder="1" applyAlignment="1">
      <alignment horizontal="right" vertical="center"/>
    </xf>
    <xf numFmtId="0" fontId="7" fillId="0" borderId="1" xfId="4" applyFont="1" applyBorder="1" applyAlignment="1">
      <alignment vertical="center" wrapText="1"/>
    </xf>
    <xf numFmtId="3" fontId="11" fillId="0" borderId="1" xfId="4" applyNumberFormat="1" applyFont="1" applyBorder="1" applyAlignment="1">
      <alignment vertical="center"/>
    </xf>
    <xf numFmtId="3" fontId="7" fillId="4" borderId="787" xfId="4" applyNumberFormat="1" applyFont="1" applyFill="1" applyBorder="1" applyAlignment="1">
      <alignment horizontal="right" vertical="center"/>
    </xf>
    <xf numFmtId="3" fontId="7" fillId="4" borderId="790" xfId="4" applyNumberFormat="1" applyFont="1" applyFill="1" applyBorder="1" applyAlignment="1">
      <alignment horizontal="right" vertical="center"/>
    </xf>
    <xf numFmtId="3" fontId="7" fillId="4" borderId="787" xfId="1" applyNumberFormat="1" applyFont="1" applyFill="1" applyBorder="1" applyAlignment="1">
      <alignment horizontal="right" vertical="center"/>
    </xf>
    <xf numFmtId="3" fontId="7" fillId="4" borderId="790" xfId="1" applyNumberFormat="1" applyFont="1" applyFill="1" applyBorder="1" applyAlignment="1">
      <alignment horizontal="right" vertical="center"/>
    </xf>
    <xf numFmtId="49" fontId="88" fillId="0" borderId="6" xfId="10" applyNumberFormat="1" applyFont="1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88" fillId="14" borderId="7" xfId="10" applyNumberFormat="1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horizontal="center" vertical="center" wrapText="1"/>
    </xf>
    <xf numFmtId="49" fontId="88" fillId="14" borderId="755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center" vertical="center" wrapText="1"/>
    </xf>
    <xf numFmtId="49" fontId="88" fillId="14" borderId="7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" xfId="10" applyNumberFormat="1" applyFont="1" applyFill="1" applyBorder="1" applyAlignment="1" applyProtection="1">
      <alignment horizontal="center" vertical="center" wrapText="1"/>
      <protection locked="0"/>
    </xf>
    <xf numFmtId="49" fontId="41" fillId="0" borderId="712" xfId="1" applyNumberFormat="1" applyFont="1" applyBorder="1" applyAlignment="1">
      <alignment horizontal="center" vertical="center"/>
    </xf>
    <xf numFmtId="49" fontId="88" fillId="14" borderId="374" xfId="10" applyNumberFormat="1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vertical="center" wrapText="1"/>
    </xf>
    <xf numFmtId="49" fontId="88" fillId="14" borderId="79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9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5" xfId="10" applyNumberFormat="1" applyFont="1" applyFill="1" applyBorder="1" applyAlignment="1" applyProtection="1">
      <alignment vertical="center" wrapText="1"/>
      <protection locked="0"/>
    </xf>
    <xf numFmtId="49" fontId="88" fillId="14" borderId="77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9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9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9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98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90" xfId="10" applyNumberFormat="1" applyFont="1" applyFill="1" applyBorder="1" applyAlignment="1" applyProtection="1">
      <alignment horizontal="center" vertical="center" wrapText="1"/>
      <protection locked="0"/>
    </xf>
    <xf numFmtId="3" fontId="91" fillId="0" borderId="747" xfId="10" applyNumberFormat="1" applyFont="1" applyFill="1" applyBorder="1" applyAlignment="1" applyProtection="1">
      <alignment vertical="center"/>
      <protection locked="0"/>
    </xf>
    <xf numFmtId="49" fontId="88" fillId="0" borderId="794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800" xfId="10" applyNumberFormat="1" applyFont="1" applyFill="1" applyBorder="1" applyAlignment="1" applyProtection="1">
      <alignment vertical="center"/>
      <protection locked="0"/>
    </xf>
    <xf numFmtId="49" fontId="88" fillId="0" borderId="801" xfId="10" applyNumberFormat="1" applyFont="1" applyFill="1" applyBorder="1" applyAlignment="1" applyProtection="1">
      <alignment horizontal="center" vertical="center" wrapText="1"/>
      <protection locked="0"/>
    </xf>
    <xf numFmtId="2" fontId="88" fillId="0" borderId="799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802" xfId="10" applyNumberFormat="1" applyFont="1" applyFill="1" applyBorder="1" applyAlignment="1" applyProtection="1">
      <alignment horizontal="center" vertical="center" wrapText="1"/>
      <protection locked="0"/>
    </xf>
    <xf numFmtId="3" fontId="88" fillId="0" borderId="6" xfId="10" applyNumberFormat="1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49" fontId="88" fillId="14" borderId="803" xfId="10" applyNumberFormat="1" applyFont="1" applyFill="1" applyBorder="1" applyAlignment="1" applyProtection="1">
      <alignment horizontal="left" vertical="center" wrapText="1"/>
      <protection locked="0"/>
    </xf>
    <xf numFmtId="3" fontId="88" fillId="0" borderId="804" xfId="10" applyNumberFormat="1" applyFont="1" applyFill="1" applyBorder="1" applyAlignment="1" applyProtection="1">
      <alignment vertical="center"/>
      <protection locked="0"/>
    </xf>
    <xf numFmtId="49" fontId="88" fillId="0" borderId="805" xfId="10" applyNumberFormat="1" applyFont="1" applyFill="1" applyBorder="1" applyAlignment="1" applyProtection="1">
      <alignment horizontal="center" vertical="center" wrapText="1"/>
      <protection locked="0"/>
    </xf>
    <xf numFmtId="49" fontId="108" fillId="0" borderId="806" xfId="1" applyNumberFormat="1" applyFont="1" applyBorder="1" applyAlignment="1">
      <alignment vertical="center"/>
    </xf>
    <xf numFmtId="0" fontId="109" fillId="0" borderId="807" xfId="1" applyFont="1" applyBorder="1" applyAlignment="1">
      <alignment vertical="center" wrapText="1"/>
    </xf>
    <xf numFmtId="0" fontId="108" fillId="0" borderId="807" xfId="1" applyFont="1" applyBorder="1" applyAlignment="1">
      <alignment vertical="center"/>
    </xf>
    <xf numFmtId="49" fontId="108" fillId="0" borderId="807" xfId="1" applyNumberFormat="1" applyFont="1" applyBorder="1" applyAlignment="1">
      <alignment vertical="center"/>
    </xf>
    <xf numFmtId="49" fontId="108" fillId="0" borderId="807" xfId="1" applyNumberFormat="1" applyFont="1" applyBorder="1" applyAlignment="1">
      <alignment horizontal="center" vertical="center"/>
    </xf>
    <xf numFmtId="3" fontId="108" fillId="0" borderId="807" xfId="1" applyNumberFormat="1" applyFont="1" applyBorder="1" applyAlignment="1">
      <alignment vertical="center"/>
    </xf>
    <xf numFmtId="3" fontId="108" fillId="0" borderId="808" xfId="1" applyNumberFormat="1" applyFont="1" applyBorder="1" applyAlignment="1">
      <alignment vertical="center"/>
    </xf>
    <xf numFmtId="49" fontId="105" fillId="11" borderId="810" xfId="1" applyNumberFormat="1" applyFont="1" applyFill="1" applyBorder="1" applyAlignment="1">
      <alignment horizontal="center" vertical="center"/>
    </xf>
    <xf numFmtId="3" fontId="106" fillId="11" borderId="810" xfId="1" applyNumberFormat="1" applyFont="1" applyFill="1" applyBorder="1" applyAlignment="1">
      <alignment vertical="center"/>
    </xf>
    <xf numFmtId="3" fontId="106" fillId="11" borderId="811" xfId="1" applyNumberFormat="1" applyFont="1" applyFill="1" applyBorder="1" applyAlignment="1">
      <alignment vertical="center"/>
    </xf>
    <xf numFmtId="0" fontId="80" fillId="11" borderId="82" xfId="1" applyFont="1" applyFill="1" applyBorder="1" applyAlignment="1">
      <alignment horizontal="left" vertical="center"/>
    </xf>
    <xf numFmtId="0" fontId="12" fillId="0" borderId="20" xfId="14" applyFont="1" applyBorder="1" applyAlignment="1">
      <alignment horizontal="left" vertical="center"/>
    </xf>
    <xf numFmtId="0" fontId="80" fillId="11" borderId="80" xfId="1" applyFont="1" applyFill="1" applyBorder="1" applyAlignment="1">
      <alignment horizontal="left" vertical="center"/>
    </xf>
    <xf numFmtId="0" fontId="12" fillId="0" borderId="77" xfId="14" applyFont="1" applyBorder="1" applyAlignment="1">
      <alignment horizontal="left" vertical="center"/>
    </xf>
    <xf numFmtId="0" fontId="80" fillId="11" borderId="29" xfId="1" applyFont="1" applyFill="1" applyBorder="1" applyAlignment="1">
      <alignment horizontal="left" vertical="center"/>
    </xf>
    <xf numFmtId="0" fontId="12" fillId="0" borderId="67" xfId="14" applyFont="1" applyBorder="1" applyAlignment="1">
      <alignment horizontal="left" vertical="center"/>
    </xf>
    <xf numFmtId="0" fontId="63" fillId="11" borderId="79" xfId="1" applyFont="1" applyFill="1" applyBorder="1" applyAlignment="1">
      <alignment horizontal="left" vertical="center" wrapText="1"/>
    </xf>
    <xf numFmtId="0" fontId="63" fillId="11" borderId="81" xfId="1" applyFont="1" applyFill="1" applyBorder="1" applyAlignment="1">
      <alignment horizontal="left" vertical="center" wrapText="1"/>
    </xf>
    <xf numFmtId="0" fontId="63" fillId="11" borderId="18" xfId="1" applyFont="1" applyFill="1" applyBorder="1" applyAlignment="1">
      <alignment horizontal="left" vertical="center" wrapText="1"/>
    </xf>
    <xf numFmtId="0" fontId="63" fillId="11" borderId="70" xfId="1" applyFont="1" applyFill="1" applyBorder="1" applyAlignment="1">
      <alignment horizontal="left" vertical="center" wrapText="1"/>
    </xf>
    <xf numFmtId="0" fontId="63" fillId="4" borderId="30" xfId="1" applyFont="1" applyFill="1" applyBorder="1" applyAlignment="1">
      <alignment horizontal="center" vertical="center" wrapText="1"/>
    </xf>
    <xf numFmtId="0" fontId="63" fillId="4" borderId="7" xfId="1" applyFont="1" applyFill="1" applyBorder="1" applyAlignment="1">
      <alignment horizontal="center" vertical="center" wrapText="1"/>
    </xf>
    <xf numFmtId="0" fontId="63" fillId="4" borderId="8" xfId="1" applyFont="1" applyFill="1" applyBorder="1" applyAlignment="1">
      <alignment horizontal="center" vertical="center" wrapText="1"/>
    </xf>
    <xf numFmtId="0" fontId="63" fillId="11" borderId="29" xfId="1" applyFont="1" applyFill="1" applyBorder="1" applyAlignment="1">
      <alignment horizontal="left" vertical="center" wrapText="1"/>
    </xf>
    <xf numFmtId="0" fontId="63" fillId="11" borderId="66" xfId="1" applyFont="1" applyFill="1" applyBorder="1" applyAlignment="1">
      <alignment horizontal="left" vertical="center" wrapText="1"/>
    </xf>
    <xf numFmtId="0" fontId="76" fillId="8" borderId="3" xfId="1" applyFont="1" applyFill="1" applyBorder="1" applyAlignment="1">
      <alignment horizontal="center" vertical="center" wrapText="1"/>
    </xf>
    <xf numFmtId="0" fontId="76" fillId="8" borderId="5" xfId="1" applyFont="1" applyFill="1" applyBorder="1" applyAlignment="1">
      <alignment horizontal="center" vertical="center" wrapText="1"/>
    </xf>
    <xf numFmtId="0" fontId="63" fillId="11" borderId="80" xfId="1" applyFont="1" applyFill="1" applyBorder="1" applyAlignment="1">
      <alignment horizontal="left" vertical="center" wrapText="1"/>
    </xf>
    <xf numFmtId="0" fontId="63" fillId="11" borderId="16" xfId="1" applyFont="1" applyFill="1" applyBorder="1" applyAlignment="1">
      <alignment horizontal="left" vertical="center" wrapText="1"/>
    </xf>
    <xf numFmtId="0" fontId="63" fillId="11" borderId="67" xfId="1" applyFont="1" applyFill="1" applyBorder="1" applyAlignment="1">
      <alignment horizontal="left" vertical="center" wrapText="1"/>
    </xf>
    <xf numFmtId="0" fontId="63" fillId="11" borderId="73" xfId="1" applyFont="1" applyFill="1" applyBorder="1" applyAlignment="1">
      <alignment horizontal="left" vertical="center" wrapText="1"/>
    </xf>
    <xf numFmtId="0" fontId="63" fillId="11" borderId="28" xfId="1" applyFont="1" applyFill="1" applyBorder="1" applyAlignment="1">
      <alignment horizontal="left" vertical="center" wrapText="1"/>
    </xf>
    <xf numFmtId="0" fontId="63" fillId="11" borderId="47" xfId="1" applyFont="1" applyFill="1" applyBorder="1" applyAlignment="1">
      <alignment horizontal="left" vertical="center" wrapText="1"/>
    </xf>
    <xf numFmtId="0" fontId="60" fillId="4" borderId="76" xfId="1" applyFont="1" applyFill="1" applyBorder="1" applyAlignment="1">
      <alignment horizontal="center" vertical="center" wrapText="1"/>
    </xf>
    <xf numFmtId="0" fontId="60" fillId="4" borderId="7" xfId="1" applyFont="1" applyFill="1" applyBorder="1" applyAlignment="1">
      <alignment horizontal="center" vertical="center" wrapText="1"/>
    </xf>
    <xf numFmtId="0" fontId="63" fillId="11" borderId="69" xfId="1" applyFont="1" applyFill="1" applyBorder="1" applyAlignment="1">
      <alignment horizontal="left" vertical="center" wrapText="1"/>
    </xf>
    <xf numFmtId="0" fontId="63" fillId="11" borderId="77" xfId="1" applyFont="1" applyFill="1" applyBorder="1" applyAlignment="1">
      <alignment horizontal="left" vertical="center" wrapText="1"/>
    </xf>
    <xf numFmtId="0" fontId="63" fillId="11" borderId="17" xfId="1" applyFont="1" applyFill="1" applyBorder="1" applyAlignment="1">
      <alignment horizontal="left" vertical="center" wrapText="1"/>
    </xf>
    <xf numFmtId="0" fontId="63" fillId="0" borderId="7" xfId="1" applyFont="1" applyFill="1" applyBorder="1" applyAlignment="1">
      <alignment horizontal="center" vertical="center" wrapText="1"/>
    </xf>
    <xf numFmtId="0" fontId="63" fillId="0" borderId="8" xfId="1" applyFont="1" applyFill="1" applyBorder="1" applyAlignment="1">
      <alignment horizontal="center" vertical="center" wrapText="1"/>
    </xf>
    <xf numFmtId="0" fontId="63" fillId="11" borderId="12" xfId="1" applyFont="1" applyFill="1" applyBorder="1" applyAlignment="1">
      <alignment horizontal="left" vertical="center" wrapText="1"/>
    </xf>
    <xf numFmtId="0" fontId="63" fillId="11" borderId="74" xfId="1" applyFont="1" applyFill="1" applyBorder="1" applyAlignment="1">
      <alignment horizontal="left" vertical="center" wrapText="1"/>
    </xf>
    <xf numFmtId="0" fontId="63" fillId="11" borderId="82" xfId="1" applyFont="1" applyFill="1" applyBorder="1" applyAlignment="1">
      <alignment horizontal="left" vertical="center" wrapText="1"/>
    </xf>
    <xf numFmtId="0" fontId="63" fillId="11" borderId="20" xfId="1" applyFont="1" applyFill="1" applyBorder="1" applyAlignment="1">
      <alignment horizontal="left" vertical="center" wrapText="1"/>
    </xf>
    <xf numFmtId="0" fontId="63" fillId="0" borderId="30" xfId="1" applyFont="1" applyFill="1" applyBorder="1" applyAlignment="1">
      <alignment horizontal="center" vertical="center" wrapText="1"/>
    </xf>
    <xf numFmtId="0" fontId="63" fillId="0" borderId="6" xfId="1" applyFont="1" applyFill="1" applyBorder="1" applyAlignment="1">
      <alignment horizontal="center" vertical="center" wrapText="1"/>
    </xf>
    <xf numFmtId="0" fontId="63" fillId="11" borderId="76" xfId="1" applyFont="1" applyFill="1" applyBorder="1" applyAlignment="1">
      <alignment horizontal="left" vertical="center" wrapText="1"/>
    </xf>
    <xf numFmtId="0" fontId="63" fillId="11" borderId="72" xfId="1" applyFont="1" applyFill="1" applyBorder="1" applyAlignment="1">
      <alignment horizontal="left" vertical="center" wrapText="1"/>
    </xf>
    <xf numFmtId="0" fontId="67" fillId="0" borderId="7" xfId="1" applyFont="1" applyFill="1" applyBorder="1" applyAlignment="1">
      <alignment horizontal="center" vertical="center" wrapText="1"/>
    </xf>
    <xf numFmtId="0" fontId="67" fillId="0" borderId="6" xfId="1" applyFont="1" applyFill="1" applyBorder="1" applyAlignment="1">
      <alignment horizontal="center" vertical="center" wrapText="1"/>
    </xf>
    <xf numFmtId="0" fontId="62" fillId="4" borderId="30" xfId="1" applyFont="1" applyFill="1" applyBorder="1" applyAlignment="1">
      <alignment horizontal="center" vertical="center" wrapText="1"/>
    </xf>
    <xf numFmtId="0" fontId="62" fillId="4" borderId="7" xfId="1" applyFont="1" applyFill="1" applyBorder="1" applyAlignment="1">
      <alignment horizontal="center" vertical="center" wrapText="1"/>
    </xf>
    <xf numFmtId="0" fontId="62" fillId="4" borderId="8" xfId="1" applyFont="1" applyFill="1" applyBorder="1" applyAlignment="1">
      <alignment horizontal="center" vertical="center" wrapText="1"/>
    </xf>
    <xf numFmtId="0" fontId="61" fillId="0" borderId="30" xfId="1" applyFont="1" applyFill="1" applyBorder="1" applyAlignment="1">
      <alignment horizontal="left" vertical="center" wrapText="1"/>
    </xf>
    <xf numFmtId="0" fontId="61" fillId="0" borderId="7" xfId="1" applyFont="1" applyFill="1" applyBorder="1" applyAlignment="1">
      <alignment horizontal="left" vertical="center" wrapText="1"/>
    </xf>
    <xf numFmtId="0" fontId="61" fillId="0" borderId="8" xfId="1" applyFont="1" applyFill="1" applyBorder="1" applyAlignment="1">
      <alignment horizontal="left" vertical="center" wrapText="1"/>
    </xf>
    <xf numFmtId="0" fontId="65" fillId="11" borderId="77" xfId="1" applyFont="1" applyFill="1" applyBorder="1" applyAlignment="1">
      <alignment horizontal="left" vertical="center" wrapText="1"/>
    </xf>
    <xf numFmtId="0" fontId="65" fillId="11" borderId="67" xfId="1" applyFont="1" applyFill="1" applyBorder="1" applyAlignment="1">
      <alignment horizontal="left" vertical="center" wrapText="1"/>
    </xf>
    <xf numFmtId="0" fontId="65" fillId="4" borderId="30" xfId="1" applyFont="1" applyFill="1" applyBorder="1" applyAlignment="1">
      <alignment horizontal="center" vertical="center" wrapText="1"/>
    </xf>
    <xf numFmtId="0" fontId="65" fillId="4" borderId="7" xfId="1" applyFont="1" applyFill="1" applyBorder="1" applyAlignment="1">
      <alignment horizontal="center" vertical="center" wrapText="1"/>
    </xf>
    <xf numFmtId="0" fontId="65" fillId="4" borderId="8" xfId="1" applyFont="1" applyFill="1" applyBorder="1" applyAlignment="1">
      <alignment horizontal="center" vertical="center" wrapText="1"/>
    </xf>
    <xf numFmtId="0" fontId="65" fillId="11" borderId="29" xfId="1" applyFont="1" applyFill="1" applyBorder="1" applyAlignment="1">
      <alignment horizontal="left" vertical="center" wrapText="1"/>
    </xf>
    <xf numFmtId="0" fontId="7" fillId="4" borderId="30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8" fillId="11" borderId="80" xfId="1" applyFont="1" applyFill="1" applyBorder="1" applyAlignment="1">
      <alignment horizontal="left" vertical="center" wrapText="1"/>
    </xf>
    <xf numFmtId="0" fontId="8" fillId="11" borderId="77" xfId="1" applyFont="1" applyFill="1" applyBorder="1" applyAlignment="1">
      <alignment horizontal="left" vertical="center" wrapText="1"/>
    </xf>
    <xf numFmtId="0" fontId="60" fillId="0" borderId="9" xfId="14" applyFont="1" applyFill="1" applyBorder="1" applyAlignment="1">
      <alignment horizontal="center"/>
    </xf>
    <xf numFmtId="0" fontId="60" fillId="0" borderId="7" xfId="14" applyFont="1" applyFill="1" applyBorder="1" applyAlignment="1">
      <alignment horizontal="center"/>
    </xf>
    <xf numFmtId="0" fontId="60" fillId="0" borderId="6" xfId="14" applyFont="1" applyFill="1" applyBorder="1" applyAlignment="1">
      <alignment horizontal="center"/>
    </xf>
    <xf numFmtId="0" fontId="65" fillId="11" borderId="18" xfId="1" applyFont="1" applyFill="1" applyBorder="1" applyAlignment="1">
      <alignment horizontal="left" vertical="center" wrapText="1"/>
    </xf>
    <xf numFmtId="0" fontId="65" fillId="11" borderId="17" xfId="1" applyFont="1" applyFill="1" applyBorder="1" applyAlignment="1">
      <alignment horizontal="left" vertical="center" wrapText="1"/>
    </xf>
    <xf numFmtId="0" fontId="8" fillId="11" borderId="18" xfId="1" applyFont="1" applyFill="1" applyBorder="1" applyAlignment="1">
      <alignment horizontal="left" vertical="center" wrapText="1"/>
    </xf>
    <xf numFmtId="0" fontId="8" fillId="11" borderId="70" xfId="1" applyFont="1" applyFill="1" applyBorder="1" applyAlignment="1">
      <alignment horizontal="left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8" fillId="11" borderId="29" xfId="1" applyFont="1" applyFill="1" applyBorder="1" applyAlignment="1">
      <alignment horizontal="left" vertical="center" wrapText="1"/>
    </xf>
    <xf numFmtId="0" fontId="8" fillId="11" borderId="66" xfId="1" applyFont="1" applyFill="1" applyBorder="1" applyAlignment="1">
      <alignment horizontal="left" vertical="center" wrapText="1"/>
    </xf>
    <xf numFmtId="0" fontId="8" fillId="11" borderId="48" xfId="1" applyFont="1" applyFill="1" applyBorder="1" applyAlignment="1">
      <alignment horizontal="left" vertical="center" wrapText="1"/>
    </xf>
    <xf numFmtId="0" fontId="8" fillId="11" borderId="46" xfId="1" applyFont="1" applyFill="1" applyBorder="1" applyAlignment="1">
      <alignment horizontal="left" vertical="center" wrapText="1"/>
    </xf>
    <xf numFmtId="0" fontId="63" fillId="4" borderId="6" xfId="1" applyFont="1" applyFill="1" applyBorder="1" applyAlignment="1">
      <alignment horizontal="center" vertical="center" wrapText="1"/>
    </xf>
    <xf numFmtId="0" fontId="61" fillId="4" borderId="30" xfId="1" applyFont="1" applyFill="1" applyBorder="1" applyAlignment="1">
      <alignment horizontal="center" vertical="center" wrapText="1"/>
    </xf>
    <xf numFmtId="0" fontId="61" fillId="4" borderId="8" xfId="1" applyFont="1" applyFill="1" applyBorder="1" applyAlignment="1">
      <alignment horizontal="center" vertical="center" wrapText="1"/>
    </xf>
    <xf numFmtId="0" fontId="61" fillId="4" borderId="7" xfId="1" applyFont="1" applyFill="1" applyBorder="1" applyAlignment="1">
      <alignment horizontal="center" vertical="center" wrapText="1"/>
    </xf>
    <xf numFmtId="49" fontId="61" fillId="4" borderId="30" xfId="1" applyNumberFormat="1" applyFont="1" applyFill="1" applyBorder="1" applyAlignment="1">
      <alignment horizontal="center" vertical="center" wrapText="1"/>
    </xf>
    <xf numFmtId="49" fontId="61" fillId="4" borderId="8" xfId="1" applyNumberFormat="1" applyFont="1" applyFill="1" applyBorder="1" applyAlignment="1">
      <alignment horizontal="center" vertical="center" wrapText="1"/>
    </xf>
    <xf numFmtId="0" fontId="61" fillId="4" borderId="30" xfId="1" quotePrefix="1" applyFont="1" applyFill="1" applyBorder="1" applyAlignment="1">
      <alignment horizontal="left" vertical="center" wrapText="1"/>
    </xf>
    <xf numFmtId="0" fontId="61" fillId="4" borderId="8" xfId="1" quotePrefix="1" applyFont="1" applyFill="1" applyBorder="1" applyAlignment="1">
      <alignment horizontal="left" vertical="center" wrapText="1"/>
    </xf>
    <xf numFmtId="0" fontId="63" fillId="11" borderId="0" xfId="1" applyFont="1" applyFill="1" applyBorder="1" applyAlignment="1">
      <alignment horizontal="left" vertical="center" wrapText="1"/>
    </xf>
    <xf numFmtId="0" fontId="65" fillId="11" borderId="28" xfId="1" applyFont="1" applyFill="1" applyBorder="1" applyAlignment="1">
      <alignment horizontal="left" vertical="center" wrapText="1"/>
    </xf>
    <xf numFmtId="0" fontId="65" fillId="11" borderId="47" xfId="1" applyFont="1" applyFill="1" applyBorder="1" applyAlignment="1">
      <alignment horizontal="left" vertical="center" wrapText="1"/>
    </xf>
    <xf numFmtId="0" fontId="63" fillId="0" borderId="82" xfId="1" applyFont="1" applyFill="1" applyBorder="1" applyAlignment="1">
      <alignment horizontal="center" vertical="center" wrapText="1"/>
    </xf>
    <xf numFmtId="0" fontId="61" fillId="0" borderId="59" xfId="1" applyFont="1" applyFill="1" applyBorder="1" applyAlignment="1">
      <alignment horizontal="left" vertical="center" wrapText="1"/>
    </xf>
    <xf numFmtId="0" fontId="65" fillId="11" borderId="70" xfId="1" applyFont="1" applyFill="1" applyBorder="1" applyAlignment="1">
      <alignment horizontal="left" vertical="center" wrapText="1"/>
    </xf>
    <xf numFmtId="0" fontId="68" fillId="4" borderId="30" xfId="1" applyFont="1" applyFill="1" applyBorder="1" applyAlignment="1">
      <alignment horizontal="center" vertical="center" wrapText="1"/>
    </xf>
    <xf numFmtId="0" fontId="68" fillId="4" borderId="8" xfId="1" applyFont="1" applyFill="1" applyBorder="1" applyAlignment="1">
      <alignment horizontal="center" vertical="center" wrapText="1"/>
    </xf>
    <xf numFmtId="0" fontId="63" fillId="11" borderId="68" xfId="1" applyFont="1" applyFill="1" applyBorder="1" applyAlignment="1">
      <alignment horizontal="left" vertical="center" wrapText="1"/>
    </xf>
    <xf numFmtId="0" fontId="65" fillId="11" borderId="82" xfId="1" applyFont="1" applyFill="1" applyBorder="1" applyAlignment="1">
      <alignment horizontal="left" vertical="center" wrapText="1"/>
    </xf>
    <xf numFmtId="0" fontId="65" fillId="11" borderId="72" xfId="1" applyFont="1" applyFill="1" applyBorder="1" applyAlignment="1">
      <alignment horizontal="left" vertical="center" wrapText="1"/>
    </xf>
    <xf numFmtId="0" fontId="65" fillId="11" borderId="0" xfId="1" applyFont="1" applyFill="1" applyBorder="1" applyAlignment="1">
      <alignment horizontal="left" vertical="center" wrapText="1"/>
    </xf>
    <xf numFmtId="0" fontId="65" fillId="11" borderId="12" xfId="1" applyFont="1" applyFill="1" applyBorder="1" applyAlignment="1">
      <alignment horizontal="left" vertical="center" wrapText="1"/>
    </xf>
    <xf numFmtId="0" fontId="73" fillId="4" borderId="30" xfId="14" applyFont="1" applyFill="1" applyBorder="1" applyAlignment="1">
      <alignment horizontal="center" vertical="center" wrapText="1"/>
    </xf>
    <xf numFmtId="0" fontId="73" fillId="4" borderId="7" xfId="14" applyFont="1" applyFill="1" applyBorder="1" applyAlignment="1">
      <alignment horizontal="center" vertical="center" wrapText="1"/>
    </xf>
    <xf numFmtId="0" fontId="73" fillId="4" borderId="8" xfId="14" applyFont="1" applyFill="1" applyBorder="1" applyAlignment="1">
      <alignment horizontal="center" vertical="center" wrapText="1"/>
    </xf>
    <xf numFmtId="0" fontId="8" fillId="11" borderId="76" xfId="1" applyFont="1" applyFill="1" applyBorder="1" applyAlignment="1">
      <alignment horizontal="left" vertical="center" wrapText="1"/>
    </xf>
    <xf numFmtId="0" fontId="8" fillId="11" borderId="0" xfId="1" applyFont="1" applyFill="1" applyBorder="1" applyAlignment="1">
      <alignment horizontal="left" vertical="center" wrapText="1"/>
    </xf>
    <xf numFmtId="49" fontId="61" fillId="0" borderId="30" xfId="1" applyNumberFormat="1" applyFont="1" applyFill="1" applyBorder="1" applyAlignment="1">
      <alignment horizontal="center" vertical="center" wrapText="1"/>
    </xf>
    <xf numFmtId="49" fontId="61" fillId="0" borderId="6" xfId="1" applyNumberFormat="1" applyFont="1" applyFill="1" applyBorder="1" applyAlignment="1">
      <alignment horizontal="center" vertical="center" wrapText="1"/>
    </xf>
    <xf numFmtId="49" fontId="61" fillId="4" borderId="7" xfId="1" applyNumberFormat="1" applyFont="1" applyFill="1" applyBorder="1" applyAlignment="1">
      <alignment horizontal="center" vertical="center" wrapText="1"/>
    </xf>
    <xf numFmtId="0" fontId="63" fillId="11" borderId="75" xfId="1" applyFont="1" applyFill="1" applyBorder="1" applyAlignment="1">
      <alignment horizontal="left" vertical="center" wrapText="1"/>
    </xf>
    <xf numFmtId="0" fontId="61" fillId="0" borderId="71" xfId="14" applyFont="1" applyFill="1" applyBorder="1" applyAlignment="1">
      <alignment horizontal="left" vertical="center" wrapText="1"/>
    </xf>
    <xf numFmtId="0" fontId="63" fillId="4" borderId="64" xfId="1" applyFont="1" applyFill="1" applyBorder="1" applyAlignment="1">
      <alignment horizontal="center" vertical="center" wrapText="1"/>
    </xf>
    <xf numFmtId="0" fontId="63" fillId="4" borderId="14" xfId="1" applyFont="1" applyFill="1" applyBorder="1" applyAlignment="1">
      <alignment horizontal="center" vertical="center" wrapText="1"/>
    </xf>
    <xf numFmtId="0" fontId="63" fillId="4" borderId="76" xfId="1" applyFont="1" applyFill="1" applyBorder="1" applyAlignment="1">
      <alignment horizontal="center" vertical="center" wrapText="1"/>
    </xf>
    <xf numFmtId="0" fontId="63" fillId="4" borderId="80" xfId="1" applyFont="1" applyFill="1" applyBorder="1" applyAlignment="1">
      <alignment horizontal="center" vertical="center" wrapText="1"/>
    </xf>
    <xf numFmtId="0" fontId="65" fillId="11" borderId="75" xfId="1" applyFont="1" applyFill="1" applyBorder="1" applyAlignment="1">
      <alignment horizontal="left" vertical="center" wrapText="1"/>
    </xf>
    <xf numFmtId="0" fontId="65" fillId="11" borderId="10" xfId="1" applyFont="1" applyFill="1" applyBorder="1" applyAlignment="1">
      <alignment horizontal="left" vertical="center" wrapText="1"/>
    </xf>
    <xf numFmtId="0" fontId="8" fillId="4" borderId="30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63" fillId="11" borderId="10" xfId="1" applyFont="1" applyFill="1" applyBorder="1" applyAlignment="1">
      <alignment horizontal="left" vertical="center" wrapText="1"/>
    </xf>
    <xf numFmtId="0" fontId="63" fillId="11" borderId="28" xfId="14" applyFont="1" applyFill="1" applyBorder="1" applyAlignment="1">
      <alignment horizontal="left" vertical="center" wrapText="1"/>
    </xf>
    <xf numFmtId="0" fontId="63" fillId="11" borderId="23" xfId="14" quotePrefix="1" applyFont="1" applyFill="1" applyBorder="1" applyAlignment="1">
      <alignment horizontal="left" vertical="center" wrapText="1"/>
    </xf>
    <xf numFmtId="0" fontId="63" fillId="11" borderId="58" xfId="1" applyFont="1" applyFill="1" applyBorder="1" applyAlignment="1">
      <alignment horizontal="left" vertical="center" wrapText="1"/>
    </xf>
    <xf numFmtId="0" fontId="63" fillId="11" borderId="59" xfId="1" applyFont="1" applyFill="1" applyBorder="1" applyAlignment="1">
      <alignment horizontal="left" vertical="center" wrapText="1"/>
    </xf>
    <xf numFmtId="0" fontId="8" fillId="11" borderId="18" xfId="14" applyFont="1" applyFill="1" applyBorder="1" applyAlignment="1">
      <alignment horizontal="left" vertical="center" wrapText="1"/>
    </xf>
    <xf numFmtId="0" fontId="8" fillId="11" borderId="17" xfId="14" applyFont="1" applyFill="1" applyBorder="1" applyAlignment="1">
      <alignment horizontal="left" vertical="center" wrapText="1"/>
    </xf>
    <xf numFmtId="0" fontId="8" fillId="4" borderId="30" xfId="14" applyFont="1" applyFill="1" applyBorder="1" applyAlignment="1">
      <alignment horizontal="center" vertical="center" wrapText="1"/>
    </xf>
    <xf numFmtId="0" fontId="8" fillId="4" borderId="7" xfId="14" applyFont="1" applyFill="1" applyBorder="1" applyAlignment="1">
      <alignment horizontal="center" vertical="center" wrapText="1"/>
    </xf>
    <xf numFmtId="0" fontId="8" fillId="4" borderId="8" xfId="14" applyFont="1" applyFill="1" applyBorder="1" applyAlignment="1">
      <alignment horizontal="center" vertical="center" wrapText="1"/>
    </xf>
    <xf numFmtId="0" fontId="8" fillId="11" borderId="75" xfId="14" applyFont="1" applyFill="1" applyBorder="1" applyAlignment="1">
      <alignment horizontal="left" vertical="center" wrapText="1"/>
    </xf>
    <xf numFmtId="0" fontId="8" fillId="11" borderId="10" xfId="14" quotePrefix="1" applyFont="1" applyFill="1" applyBorder="1" applyAlignment="1">
      <alignment horizontal="left" vertical="center" wrapText="1"/>
    </xf>
    <xf numFmtId="0" fontId="63" fillId="11" borderId="80" xfId="14" applyFont="1" applyFill="1" applyBorder="1" applyAlignment="1">
      <alignment horizontal="left" vertical="center" wrapText="1"/>
    </xf>
    <xf numFmtId="0" fontId="63" fillId="11" borderId="77" xfId="14" applyFont="1" applyFill="1" applyBorder="1" applyAlignment="1">
      <alignment horizontal="left" vertical="center" wrapText="1"/>
    </xf>
    <xf numFmtId="0" fontId="62" fillId="0" borderId="30" xfId="14" applyFont="1" applyBorder="1" applyAlignment="1">
      <alignment horizontal="center" vertical="center" wrapText="1"/>
    </xf>
    <xf numFmtId="0" fontId="62" fillId="0" borderId="8" xfId="14" applyFont="1" applyBorder="1" applyAlignment="1">
      <alignment horizontal="center" vertical="center" wrapText="1"/>
    </xf>
    <xf numFmtId="0" fontId="61" fillId="4" borderId="7" xfId="14" quotePrefix="1" applyFont="1" applyFill="1" applyBorder="1" applyAlignment="1">
      <alignment horizontal="center" vertical="center" wrapText="1"/>
    </xf>
    <xf numFmtId="0" fontId="61" fillId="4" borderId="8" xfId="14" quotePrefix="1" applyFont="1" applyFill="1" applyBorder="1" applyAlignment="1">
      <alignment horizontal="center" vertical="center" wrapText="1"/>
    </xf>
    <xf numFmtId="0" fontId="63" fillId="11" borderId="16" xfId="14" quotePrefix="1" applyFont="1" applyFill="1" applyBorder="1" applyAlignment="1">
      <alignment horizontal="left" vertical="center" wrapText="1"/>
    </xf>
    <xf numFmtId="0" fontId="61" fillId="4" borderId="30" xfId="14" quotePrefix="1" applyFont="1" applyFill="1" applyBorder="1" applyAlignment="1">
      <alignment horizontal="center" vertical="center" wrapText="1"/>
    </xf>
    <xf numFmtId="0" fontId="61" fillId="4" borderId="6" xfId="14" quotePrefix="1" applyFont="1" applyFill="1" applyBorder="1" applyAlignment="1">
      <alignment horizontal="center" vertical="center" wrapText="1"/>
    </xf>
    <xf numFmtId="49" fontId="61" fillId="4" borderId="7" xfId="14" quotePrefix="1" applyNumberFormat="1" applyFont="1" applyFill="1" applyBorder="1" applyAlignment="1">
      <alignment horizontal="center" vertical="center" wrapText="1"/>
    </xf>
    <xf numFmtId="49" fontId="61" fillId="4" borderId="8" xfId="14" quotePrefix="1" applyNumberFormat="1" applyFont="1" applyFill="1" applyBorder="1" applyAlignment="1">
      <alignment horizontal="center" vertical="center" wrapText="1"/>
    </xf>
    <xf numFmtId="0" fontId="61" fillId="4" borderId="30" xfId="14" quotePrefix="1" applyFont="1" applyFill="1" applyBorder="1" applyAlignment="1">
      <alignment horizontal="left" vertical="center" wrapText="1"/>
    </xf>
    <xf numFmtId="0" fontId="61" fillId="4" borderId="8" xfId="14" quotePrefix="1" applyFont="1" applyFill="1" applyBorder="1" applyAlignment="1">
      <alignment horizontal="left" vertical="center" wrapText="1"/>
    </xf>
    <xf numFmtId="49" fontId="61" fillId="4" borderId="30" xfId="14" quotePrefix="1" applyNumberFormat="1" applyFont="1" applyFill="1" applyBorder="1" applyAlignment="1">
      <alignment horizontal="center" vertical="center" wrapText="1"/>
    </xf>
    <xf numFmtId="0" fontId="63" fillId="11" borderId="29" xfId="14" applyFont="1" applyFill="1" applyBorder="1" applyAlignment="1">
      <alignment horizontal="left" vertical="center"/>
    </xf>
    <xf numFmtId="0" fontId="63" fillId="11" borderId="66" xfId="14" applyFont="1" applyFill="1" applyBorder="1" applyAlignment="1">
      <alignment horizontal="left" vertical="center"/>
    </xf>
    <xf numFmtId="0" fontId="63" fillId="11" borderId="18" xfId="14" applyFont="1" applyFill="1" applyBorder="1" applyAlignment="1">
      <alignment horizontal="left" vertical="center" wrapText="1"/>
    </xf>
    <xf numFmtId="0" fontId="63" fillId="11" borderId="70" xfId="14" applyFont="1" applyFill="1" applyBorder="1" applyAlignment="1">
      <alignment horizontal="left" vertical="center" wrapText="1"/>
    </xf>
    <xf numFmtId="0" fontId="63" fillId="11" borderId="17" xfId="14" quotePrefix="1" applyFont="1" applyFill="1" applyBorder="1" applyAlignment="1">
      <alignment horizontal="left" vertical="center" wrapText="1"/>
    </xf>
    <xf numFmtId="0" fontId="66" fillId="0" borderId="7" xfId="14" applyFont="1" applyBorder="1" applyAlignment="1">
      <alignment horizontal="center" vertical="center" wrapText="1"/>
    </xf>
    <xf numFmtId="0" fontId="63" fillId="11" borderId="29" xfId="14" applyFont="1" applyFill="1" applyBorder="1" applyAlignment="1">
      <alignment horizontal="left" vertical="center" wrapText="1"/>
    </xf>
    <xf numFmtId="0" fontId="63" fillId="11" borderId="67" xfId="14" quotePrefix="1" applyFont="1" applyFill="1" applyBorder="1" applyAlignment="1">
      <alignment horizontal="left" vertical="center" wrapText="1"/>
    </xf>
    <xf numFmtId="0" fontId="63" fillId="11" borderId="77" xfId="14" quotePrefix="1" applyFont="1" applyFill="1" applyBorder="1" applyAlignment="1">
      <alignment horizontal="left" vertical="center" wrapText="1"/>
    </xf>
    <xf numFmtId="0" fontId="63" fillId="11" borderId="70" xfId="14" quotePrefix="1" applyFont="1" applyFill="1" applyBorder="1" applyAlignment="1">
      <alignment horizontal="left" vertical="center" wrapText="1"/>
    </xf>
    <xf numFmtId="49" fontId="7" fillId="4" borderId="30" xfId="14" applyNumberFormat="1" applyFont="1" applyFill="1" applyBorder="1" applyAlignment="1">
      <alignment horizontal="center" vertical="center" wrapText="1"/>
    </xf>
    <xf numFmtId="49" fontId="7" fillId="4" borderId="8" xfId="14" applyNumberFormat="1" applyFont="1" applyFill="1" applyBorder="1" applyAlignment="1">
      <alignment horizontal="center" vertical="center" wrapText="1"/>
    </xf>
    <xf numFmtId="0" fontId="8" fillId="11" borderId="29" xfId="14" applyFont="1" applyFill="1" applyBorder="1" applyAlignment="1">
      <alignment horizontal="left" vertical="center" wrapText="1"/>
    </xf>
    <xf numFmtId="0" fontId="8" fillId="11" borderId="67" xfId="14" quotePrefix="1" applyFont="1" applyFill="1" applyBorder="1" applyAlignment="1">
      <alignment horizontal="left" vertical="center" wrapText="1"/>
    </xf>
    <xf numFmtId="0" fontId="66" fillId="0" borderId="30" xfId="14" applyFont="1" applyFill="1" applyBorder="1" applyAlignment="1">
      <alignment horizontal="left" vertical="center" wrapText="1"/>
    </xf>
    <xf numFmtId="0" fontId="66" fillId="0" borderId="7" xfId="14" applyFont="1" applyFill="1" applyBorder="1" applyAlignment="1">
      <alignment horizontal="left" vertical="center" wrapText="1"/>
    </xf>
    <xf numFmtId="0" fontId="66" fillId="0" borderId="8" xfId="14" applyFont="1" applyFill="1" applyBorder="1" applyAlignment="1">
      <alignment horizontal="left" vertical="center" wrapText="1"/>
    </xf>
    <xf numFmtId="0" fontId="63" fillId="4" borderId="7" xfId="14" applyFont="1" applyFill="1" applyBorder="1" applyAlignment="1">
      <alignment horizontal="center" vertical="center" wrapText="1"/>
    </xf>
    <xf numFmtId="0" fontId="63" fillId="4" borderId="8" xfId="14" applyFont="1" applyFill="1" applyBorder="1" applyAlignment="1">
      <alignment horizontal="center" vertical="center" wrapText="1"/>
    </xf>
    <xf numFmtId="0" fontId="8" fillId="11" borderId="80" xfId="14" applyFont="1" applyFill="1" applyBorder="1" applyAlignment="1">
      <alignment horizontal="left" vertical="center" wrapText="1"/>
    </xf>
    <xf numFmtId="0" fontId="8" fillId="11" borderId="16" xfId="14" quotePrefix="1" applyFont="1" applyFill="1" applyBorder="1" applyAlignment="1">
      <alignment horizontal="left" vertical="center" wrapText="1"/>
    </xf>
    <xf numFmtId="0" fontId="70" fillId="4" borderId="7" xfId="14" applyFont="1" applyFill="1" applyBorder="1" applyAlignment="1">
      <alignment horizontal="center" vertical="center" wrapText="1"/>
    </xf>
    <xf numFmtId="0" fontId="7" fillId="4" borderId="78" xfId="14" applyFont="1" applyFill="1" applyBorder="1" applyAlignment="1">
      <alignment horizontal="left" vertical="center" wrapText="1"/>
    </xf>
    <xf numFmtId="0" fontId="7" fillId="4" borderId="16" xfId="14" applyFont="1" applyFill="1" applyBorder="1" applyAlignment="1">
      <alignment horizontal="left" vertical="center" wrapText="1"/>
    </xf>
    <xf numFmtId="0" fontId="11" fillId="4" borderId="7" xfId="14" applyFont="1" applyFill="1" applyBorder="1" applyAlignment="1">
      <alignment horizontal="center" vertical="center" wrapText="1"/>
    </xf>
    <xf numFmtId="0" fontId="11" fillId="4" borderId="6" xfId="14" applyFont="1" applyFill="1" applyBorder="1" applyAlignment="1">
      <alignment horizontal="center" vertical="center" wrapText="1"/>
    </xf>
    <xf numFmtId="0" fontId="8" fillId="11" borderId="17" xfId="14" quotePrefix="1" applyFont="1" applyFill="1" applyBorder="1" applyAlignment="1">
      <alignment horizontal="left" vertical="center" wrapText="1"/>
    </xf>
    <xf numFmtId="0" fontId="63" fillId="11" borderId="82" xfId="14" applyFont="1" applyFill="1" applyBorder="1" applyAlignment="1">
      <alignment horizontal="left" vertical="center" wrapText="1"/>
    </xf>
    <xf numFmtId="0" fontId="63" fillId="11" borderId="20" xfId="14" quotePrefix="1" applyFont="1" applyFill="1" applyBorder="1" applyAlignment="1">
      <alignment horizontal="left" vertical="center" wrapText="1"/>
    </xf>
    <xf numFmtId="0" fontId="66" fillId="0" borderId="9" xfId="14" applyFont="1" applyBorder="1" applyAlignment="1">
      <alignment horizontal="center" vertical="center" wrapText="1"/>
    </xf>
    <xf numFmtId="0" fontId="65" fillId="11" borderId="75" xfId="14" applyFont="1" applyFill="1" applyBorder="1" applyAlignment="1">
      <alignment horizontal="left" vertical="center" wrapText="1"/>
    </xf>
    <xf numFmtId="0" fontId="65" fillId="11" borderId="10" xfId="14" quotePrefix="1" applyFont="1" applyFill="1" applyBorder="1" applyAlignment="1">
      <alignment horizontal="left" vertical="center" wrapText="1"/>
    </xf>
    <xf numFmtId="0" fontId="65" fillId="11" borderId="77" xfId="14" applyFont="1" applyFill="1" applyBorder="1" applyAlignment="1">
      <alignment horizontal="left" vertical="center" wrapText="1"/>
    </xf>
    <xf numFmtId="0" fontId="65" fillId="11" borderId="77" xfId="14" quotePrefix="1" applyFont="1" applyFill="1" applyBorder="1" applyAlignment="1">
      <alignment horizontal="left" vertical="center" wrapText="1"/>
    </xf>
    <xf numFmtId="0" fontId="68" fillId="0" borderId="30" xfId="14" applyFont="1" applyBorder="1" applyAlignment="1">
      <alignment horizontal="center" vertical="center" wrapText="1"/>
    </xf>
    <xf numFmtId="0" fontId="68" fillId="0" borderId="7" xfId="14" applyFont="1" applyBorder="1" applyAlignment="1">
      <alignment horizontal="center" vertical="center" wrapText="1"/>
    </xf>
    <xf numFmtId="0" fontId="68" fillId="0" borderId="8" xfId="14" applyFont="1" applyBorder="1" applyAlignment="1">
      <alignment horizontal="center" vertical="center" wrapText="1"/>
    </xf>
    <xf numFmtId="0" fontId="8" fillId="11" borderId="66" xfId="14" applyFont="1" applyFill="1" applyBorder="1" applyAlignment="1">
      <alignment horizontal="left" vertical="center" wrapText="1"/>
    </xf>
    <xf numFmtId="0" fontId="50" fillId="0" borderId="9" xfId="14" applyFont="1" applyBorder="1" applyAlignment="1">
      <alignment horizontal="center" vertical="center" wrapText="1"/>
    </xf>
    <xf numFmtId="0" fontId="50" fillId="0" borderId="7" xfId="14" applyFont="1" applyBorder="1" applyAlignment="1">
      <alignment horizontal="center" vertical="center" wrapText="1"/>
    </xf>
    <xf numFmtId="0" fontId="50" fillId="0" borderId="6" xfId="14" applyFont="1" applyBorder="1" applyAlignment="1">
      <alignment horizontal="center" vertical="center" wrapText="1"/>
    </xf>
    <xf numFmtId="0" fontId="65" fillId="11" borderId="80" xfId="14" applyFont="1" applyFill="1" applyBorder="1" applyAlignment="1">
      <alignment horizontal="left" vertical="center" wrapText="1"/>
    </xf>
    <xf numFmtId="0" fontId="66" fillId="0" borderId="78" xfId="14" applyFont="1" applyFill="1" applyBorder="1" applyAlignment="1">
      <alignment horizontal="left" vertical="center" wrapText="1"/>
    </xf>
    <xf numFmtId="0" fontId="66" fillId="0" borderId="81" xfId="14" applyFont="1" applyFill="1" applyBorder="1" applyAlignment="1">
      <alignment horizontal="left" vertical="center" wrapText="1"/>
    </xf>
    <xf numFmtId="0" fontId="65" fillId="11" borderId="29" xfId="14" applyFont="1" applyFill="1" applyBorder="1" applyAlignment="1">
      <alignment horizontal="left" vertical="center" wrapText="1"/>
    </xf>
    <xf numFmtId="0" fontId="65" fillId="11" borderId="66" xfId="14" quotePrefix="1" applyFont="1" applyFill="1" applyBorder="1" applyAlignment="1">
      <alignment horizontal="left" vertical="center" wrapText="1"/>
    </xf>
    <xf numFmtId="0" fontId="63" fillId="11" borderId="66" xfId="14" quotePrefix="1" applyFont="1" applyFill="1" applyBorder="1" applyAlignment="1">
      <alignment horizontal="left" vertical="center" wrapText="1"/>
    </xf>
    <xf numFmtId="0" fontId="67" fillId="0" borderId="9" xfId="14" applyFont="1" applyBorder="1" applyAlignment="1">
      <alignment horizontal="center" vertical="center" wrapText="1"/>
    </xf>
    <xf numFmtId="0" fontId="67" fillId="0" borderId="7" xfId="14" applyFont="1" applyBorder="1" applyAlignment="1">
      <alignment horizontal="center" vertical="center" wrapText="1"/>
    </xf>
    <xf numFmtId="0" fontId="67" fillId="0" borderId="6" xfId="14" applyFont="1" applyBorder="1" applyAlignment="1">
      <alignment horizontal="center" vertical="center" wrapText="1"/>
    </xf>
    <xf numFmtId="0" fontId="67" fillId="0" borderId="30" xfId="14" applyFont="1" applyBorder="1" applyAlignment="1">
      <alignment horizontal="center" vertical="center" wrapText="1"/>
    </xf>
    <xf numFmtId="0" fontId="67" fillId="0" borderId="8" xfId="14" applyFont="1" applyBorder="1" applyAlignment="1">
      <alignment horizontal="center" vertical="center" wrapText="1"/>
    </xf>
    <xf numFmtId="0" fontId="63" fillId="11" borderId="20" xfId="14" applyFont="1" applyFill="1" applyBorder="1" applyAlignment="1">
      <alignment horizontal="left" vertical="center" wrapText="1"/>
    </xf>
    <xf numFmtId="0" fontId="63" fillId="4" borderId="30" xfId="14" applyFont="1" applyFill="1" applyBorder="1" applyAlignment="1">
      <alignment horizontal="center" vertical="center" wrapText="1"/>
    </xf>
    <xf numFmtId="0" fontId="63" fillId="11" borderId="75" xfId="14" applyFont="1" applyFill="1" applyBorder="1" applyAlignment="1">
      <alignment horizontal="left" vertical="center" wrapText="1"/>
    </xf>
    <xf numFmtId="0" fontId="63" fillId="11" borderId="66" xfId="14" applyFont="1" applyFill="1" applyBorder="1" applyAlignment="1">
      <alignment horizontal="left" vertical="center" wrapText="1"/>
    </xf>
    <xf numFmtId="0" fontId="63" fillId="11" borderId="74" xfId="14" applyFont="1" applyFill="1" applyBorder="1" applyAlignment="1">
      <alignment horizontal="left" vertical="center" wrapText="1"/>
    </xf>
    <xf numFmtId="0" fontId="63" fillId="11" borderId="68" xfId="14" applyFont="1" applyFill="1" applyBorder="1" applyAlignment="1">
      <alignment horizontal="left" vertical="center" wrapText="1"/>
    </xf>
    <xf numFmtId="0" fontId="66" fillId="0" borderId="6" xfId="14" applyFont="1" applyBorder="1" applyAlignment="1">
      <alignment horizontal="center" vertical="center" wrapText="1"/>
    </xf>
    <xf numFmtId="0" fontId="63" fillId="0" borderId="7" xfId="14" applyFont="1" applyFill="1" applyBorder="1" applyAlignment="1">
      <alignment horizontal="center" vertical="center" wrapText="1"/>
    </xf>
    <xf numFmtId="0" fontId="63" fillId="0" borderId="8" xfId="14" applyFont="1" applyFill="1" applyBorder="1" applyAlignment="1">
      <alignment horizontal="center" vertical="center" wrapText="1"/>
    </xf>
    <xf numFmtId="49" fontId="66" fillId="4" borderId="7" xfId="14" quotePrefix="1" applyNumberFormat="1" applyFont="1" applyFill="1" applyBorder="1" applyAlignment="1">
      <alignment horizontal="center" vertical="center" wrapText="1"/>
    </xf>
    <xf numFmtId="49" fontId="66" fillId="4" borderId="8" xfId="14" quotePrefix="1" applyNumberFormat="1" applyFont="1" applyFill="1" applyBorder="1" applyAlignment="1">
      <alignment horizontal="center" vertical="center" wrapText="1"/>
    </xf>
    <xf numFmtId="0" fontId="66" fillId="0" borderId="7" xfId="14" applyFont="1" applyFill="1" applyBorder="1" applyAlignment="1">
      <alignment horizontal="center" vertical="center" wrapText="1"/>
    </xf>
    <xf numFmtId="0" fontId="66" fillId="0" borderId="8" xfId="14" applyFont="1" applyFill="1" applyBorder="1" applyAlignment="1">
      <alignment horizontal="center" vertical="center" wrapText="1"/>
    </xf>
    <xf numFmtId="0" fontId="63" fillId="11" borderId="0" xfId="14" applyFont="1" applyFill="1" applyBorder="1" applyAlignment="1">
      <alignment horizontal="left" vertical="center" wrapText="1"/>
    </xf>
    <xf numFmtId="0" fontId="63" fillId="11" borderId="0" xfId="14" quotePrefix="1" applyFont="1" applyFill="1" applyBorder="1" applyAlignment="1">
      <alignment horizontal="left" vertical="center" wrapText="1"/>
    </xf>
    <xf numFmtId="0" fontId="63" fillId="11" borderId="67" xfId="14" applyFont="1" applyFill="1" applyBorder="1" applyAlignment="1">
      <alignment horizontal="left" vertical="center" wrapText="1"/>
    </xf>
    <xf numFmtId="0" fontId="61" fillId="0" borderId="7" xfId="14" applyFont="1" applyBorder="1" applyAlignment="1">
      <alignment horizontal="center" vertical="center" wrapText="1"/>
    </xf>
    <xf numFmtId="0" fontId="63" fillId="11" borderId="72" xfId="14" quotePrefix="1" applyFont="1" applyFill="1" applyBorder="1" applyAlignment="1">
      <alignment horizontal="left" vertical="center" wrapText="1"/>
    </xf>
    <xf numFmtId="0" fontId="63" fillId="11" borderId="72" xfId="14" applyFont="1" applyFill="1" applyBorder="1" applyAlignment="1">
      <alignment horizontal="left" vertical="center" wrapText="1"/>
    </xf>
    <xf numFmtId="0" fontId="63" fillId="0" borderId="30" xfId="14" applyFont="1" applyFill="1" applyBorder="1" applyAlignment="1">
      <alignment horizontal="center" vertical="center" wrapText="1"/>
    </xf>
    <xf numFmtId="0" fontId="63" fillId="0" borderId="6" xfId="14" applyFont="1" applyFill="1" applyBorder="1" applyAlignment="1">
      <alignment horizontal="center" vertical="center" wrapText="1"/>
    </xf>
    <xf numFmtId="0" fontId="63" fillId="11" borderId="10" xfId="14" quotePrefix="1" applyFont="1" applyFill="1" applyBorder="1" applyAlignment="1">
      <alignment horizontal="left" vertical="center" wrapText="1"/>
    </xf>
    <xf numFmtId="0" fontId="15" fillId="11" borderId="82" xfId="14" applyFont="1" applyFill="1" applyBorder="1" applyAlignment="1">
      <alignment horizontal="left" vertical="center" wrapText="1"/>
    </xf>
    <xf numFmtId="0" fontId="15" fillId="11" borderId="72" xfId="14" applyFont="1" applyFill="1" applyBorder="1" applyAlignment="1">
      <alignment horizontal="left" vertical="center" wrapText="1"/>
    </xf>
    <xf numFmtId="0" fontId="15" fillId="11" borderId="72" xfId="14" quotePrefix="1" applyFont="1" applyFill="1" applyBorder="1" applyAlignment="1">
      <alignment horizontal="left" vertical="center" wrapText="1"/>
    </xf>
    <xf numFmtId="0" fontId="61" fillId="0" borderId="30" xfId="14" applyFont="1" applyFill="1" applyBorder="1" applyAlignment="1">
      <alignment horizontal="left" vertical="center"/>
    </xf>
    <xf numFmtId="0" fontId="61" fillId="0" borderId="8" xfId="14" applyFont="1" applyFill="1" applyBorder="1" applyAlignment="1">
      <alignment horizontal="left" vertical="center"/>
    </xf>
    <xf numFmtId="0" fontId="14" fillId="0" borderId="9" xfId="14" quotePrefix="1" applyFont="1" applyFill="1" applyBorder="1" applyAlignment="1">
      <alignment horizontal="center" vertical="center" wrapText="1"/>
    </xf>
    <xf numFmtId="0" fontId="14" fillId="0" borderId="7" xfId="14" quotePrefix="1" applyFont="1" applyFill="1" applyBorder="1" applyAlignment="1">
      <alignment horizontal="center" vertical="center" wrapText="1"/>
    </xf>
    <xf numFmtId="0" fontId="14" fillId="0" borderId="6" xfId="14" quotePrefix="1" applyFont="1" applyFill="1" applyBorder="1" applyAlignment="1">
      <alignment horizontal="center" vertical="center" wrapText="1"/>
    </xf>
    <xf numFmtId="0" fontId="8" fillId="11" borderId="77" xfId="14" quotePrefix="1" applyFont="1" applyFill="1" applyBorder="1" applyAlignment="1">
      <alignment horizontal="left" vertical="center" wrapText="1"/>
    </xf>
    <xf numFmtId="0" fontId="11" fillId="0" borderId="9" xfId="14" quotePrefix="1" applyFont="1" applyFill="1" applyBorder="1" applyAlignment="1">
      <alignment horizontal="center" vertical="center" wrapText="1"/>
    </xf>
    <xf numFmtId="0" fontId="11" fillId="0" borderId="7" xfId="14" quotePrefix="1" applyFont="1" applyFill="1" applyBorder="1" applyAlignment="1">
      <alignment horizontal="center" vertical="center" wrapText="1"/>
    </xf>
    <xf numFmtId="0" fontId="8" fillId="11" borderId="77" xfId="14" applyFont="1" applyFill="1" applyBorder="1" applyAlignment="1">
      <alignment horizontal="left" vertical="center" wrapText="1"/>
    </xf>
    <xf numFmtId="0" fontId="8" fillId="11" borderId="82" xfId="14" applyFont="1" applyFill="1" applyBorder="1" applyAlignment="1">
      <alignment horizontal="left" vertical="center" wrapText="1"/>
    </xf>
    <xf numFmtId="0" fontId="8" fillId="11" borderId="20" xfId="14" quotePrefix="1" applyFont="1" applyFill="1" applyBorder="1" applyAlignment="1">
      <alignment horizontal="left" vertical="center" wrapText="1"/>
    </xf>
    <xf numFmtId="49" fontId="8" fillId="11" borderId="75" xfId="14" applyNumberFormat="1" applyFont="1" applyFill="1" applyBorder="1" applyAlignment="1">
      <alignment horizontal="left" vertical="center" wrapText="1"/>
    </xf>
    <xf numFmtId="49" fontId="8" fillId="11" borderId="10" xfId="14" applyNumberFormat="1" applyFont="1" applyFill="1" applyBorder="1" applyAlignment="1">
      <alignment horizontal="left" vertical="center" wrapText="1"/>
    </xf>
    <xf numFmtId="0" fontId="8" fillId="11" borderId="70" xfId="14" quotePrefix="1" applyFont="1" applyFill="1" applyBorder="1" applyAlignment="1">
      <alignment horizontal="left" vertical="center" wrapText="1"/>
    </xf>
    <xf numFmtId="49" fontId="53" fillId="0" borderId="7" xfId="14" applyNumberFormat="1" applyFont="1" applyBorder="1" applyAlignment="1">
      <alignment horizontal="center" vertical="center" wrapText="1"/>
    </xf>
    <xf numFmtId="0" fontId="8" fillId="11" borderId="66" xfId="14" quotePrefix="1" applyFont="1" applyFill="1" applyBorder="1" applyAlignment="1">
      <alignment horizontal="left" vertical="center" wrapText="1"/>
    </xf>
    <xf numFmtId="0" fontId="8" fillId="0" borderId="76" xfId="14" applyFont="1" applyFill="1" applyBorder="1" applyAlignment="1">
      <alignment horizontal="center" vertical="center" wrapText="1"/>
    </xf>
    <xf numFmtId="0" fontId="7" fillId="4" borderId="81" xfId="14" applyFont="1" applyFill="1" applyBorder="1" applyAlignment="1">
      <alignment horizontal="left" vertical="center" wrapText="1"/>
    </xf>
    <xf numFmtId="0" fontId="8" fillId="11" borderId="72" xfId="14" applyFont="1" applyFill="1" applyBorder="1" applyAlignment="1">
      <alignment horizontal="left" vertical="center" wrapText="1"/>
    </xf>
    <xf numFmtId="0" fontId="8" fillId="11" borderId="67" xfId="14" applyFont="1" applyFill="1" applyBorder="1" applyAlignment="1">
      <alignment horizontal="left" vertical="center" wrapText="1"/>
    </xf>
    <xf numFmtId="49" fontId="8" fillId="11" borderId="69" xfId="14" applyNumberFormat="1" applyFont="1" applyFill="1" applyBorder="1" applyAlignment="1">
      <alignment horizontal="left" vertical="center" wrapText="1"/>
    </xf>
    <xf numFmtId="10" fontId="11" fillId="8" borderId="9" xfId="14" applyNumberFormat="1" applyFont="1" applyFill="1" applyBorder="1" applyAlignment="1">
      <alignment horizontal="center" vertical="center" wrapText="1"/>
    </xf>
    <xf numFmtId="10" fontId="11" fillId="8" borderId="6" xfId="14" applyNumberFormat="1" applyFont="1" applyFill="1" applyBorder="1" applyAlignment="1">
      <alignment horizontal="center" vertical="center" wrapText="1"/>
    </xf>
    <xf numFmtId="3" fontId="11" fillId="8" borderId="9" xfId="17" applyNumberFormat="1" applyFont="1" applyFill="1" applyBorder="1" applyAlignment="1">
      <alignment horizontal="center" vertical="center" wrapText="1"/>
    </xf>
    <xf numFmtId="3" fontId="11" fillId="8" borderId="6" xfId="17" applyNumberFormat="1" applyFont="1" applyFill="1" applyBorder="1" applyAlignment="1">
      <alignment horizontal="center" vertical="center" wrapText="1"/>
    </xf>
    <xf numFmtId="4" fontId="11" fillId="8" borderId="9" xfId="14" applyNumberFormat="1" applyFont="1" applyFill="1" applyBorder="1" applyAlignment="1">
      <alignment horizontal="center" vertical="center" wrapText="1"/>
    </xf>
    <xf numFmtId="4" fontId="11" fillId="8" borderId="6" xfId="14" applyNumberFormat="1" applyFont="1" applyFill="1" applyBorder="1" applyAlignment="1">
      <alignment horizontal="center" vertical="center" wrapText="1"/>
    </xf>
    <xf numFmtId="10" fontId="11" fillId="8" borderId="68" xfId="14" applyNumberFormat="1" applyFont="1" applyFill="1" applyBorder="1" applyAlignment="1">
      <alignment horizontal="center" vertical="center" wrapText="1"/>
    </xf>
    <xf numFmtId="10" fontId="11" fillId="8" borderId="73" xfId="14" applyNumberFormat="1" applyFont="1" applyFill="1" applyBorder="1" applyAlignment="1">
      <alignment horizontal="center" vertical="center" wrapText="1"/>
    </xf>
    <xf numFmtId="3" fontId="7" fillId="0" borderId="0" xfId="17" applyNumberFormat="1" applyFont="1" applyAlignment="1">
      <alignment horizontal="left" vertical="center" wrapText="1"/>
    </xf>
    <xf numFmtId="0" fontId="46" fillId="0" borderId="0" xfId="14" applyFont="1" applyBorder="1" applyAlignment="1">
      <alignment horizontal="center" vertical="center" wrapText="1"/>
    </xf>
    <xf numFmtId="0" fontId="11" fillId="8" borderId="1" xfId="14" applyFont="1" applyFill="1" applyBorder="1" applyAlignment="1">
      <alignment horizontal="center" vertical="center" wrapText="1"/>
    </xf>
    <xf numFmtId="0" fontId="11" fillId="8" borderId="9" xfId="14" applyFont="1" applyFill="1" applyBorder="1" applyAlignment="1">
      <alignment horizontal="center" vertical="center" wrapText="1"/>
    </xf>
    <xf numFmtId="0" fontId="11" fillId="8" borderId="6" xfId="14" applyFont="1" applyFill="1" applyBorder="1" applyAlignment="1">
      <alignment horizontal="center" vertical="center" wrapText="1"/>
    </xf>
    <xf numFmtId="49" fontId="88" fillId="14" borderId="13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19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119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7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3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37" xfId="10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89" fillId="0" borderId="9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94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94" xfId="10" applyNumberFormat="1" applyFont="1" applyFill="1" applyBorder="1" applyAlignment="1" applyProtection="1">
      <alignment horizontal="left" vertical="center"/>
      <protection locked="0"/>
    </xf>
    <xf numFmtId="49" fontId="91" fillId="14" borderId="98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99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center" vertical="center" wrapText="1"/>
    </xf>
    <xf numFmtId="49" fontId="91" fillId="14" borderId="114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9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8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9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94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102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10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93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129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130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31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11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19" xfId="10" applyNumberFormat="1" applyFont="1" applyFill="1" applyBorder="1" applyAlignment="1" applyProtection="1">
      <alignment horizontal="left" vertical="center" wrapText="1"/>
      <protection locked="0"/>
    </xf>
    <xf numFmtId="0" fontId="96" fillId="0" borderId="119" xfId="0" applyFont="1" applyBorder="1" applyAlignment="1">
      <alignment horizontal="left" vertical="center" wrapText="1"/>
    </xf>
    <xf numFmtId="49" fontId="89" fillId="14" borderId="73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37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9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31" xfId="10" applyNumberFormat="1" applyFont="1" applyFill="1" applyBorder="1" applyAlignment="1" applyProtection="1">
      <alignment horizontal="center" vertical="center" wrapText="1"/>
      <protection locked="0"/>
    </xf>
    <xf numFmtId="49" fontId="89" fillId="14" borderId="9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55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54" xfId="10" applyNumberFormat="1" applyFont="1" applyFill="1" applyBorder="1" applyAlignment="1" applyProtection="1">
      <alignment horizontal="center" vertical="center" wrapText="1"/>
      <protection locked="0"/>
    </xf>
    <xf numFmtId="49" fontId="89" fillId="0" borderId="119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119" xfId="10" applyNumberFormat="1" applyFont="1" applyFill="1" applyBorder="1" applyAlignment="1" applyProtection="1">
      <alignment horizontal="left" vertical="center" wrapText="1"/>
      <protection locked="0"/>
    </xf>
    <xf numFmtId="49" fontId="91" fillId="0" borderId="119" xfId="10" applyNumberFormat="1" applyFont="1" applyFill="1" applyBorder="1" applyAlignment="1" applyProtection="1">
      <alignment vertical="center" wrapText="1"/>
      <protection locked="0"/>
    </xf>
    <xf numFmtId="0" fontId="96" fillId="0" borderId="119" xfId="0" applyFont="1" applyBorder="1" applyAlignment="1">
      <alignment vertical="center" wrapText="1"/>
    </xf>
    <xf numFmtId="49" fontId="88" fillId="0" borderId="137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131" xfId="10" applyNumberFormat="1" applyFont="1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88" fillId="0" borderId="119" xfId="10" applyNumberFormat="1" applyFont="1" applyFill="1" applyBorder="1" applyAlignment="1" applyProtection="1">
      <alignment vertical="center" wrapText="1"/>
      <protection locked="0"/>
    </xf>
    <xf numFmtId="0" fontId="0" fillId="0" borderId="119" xfId="0" applyFont="1" applyBorder="1" applyAlignment="1">
      <alignment vertical="center" wrapText="1"/>
    </xf>
    <xf numFmtId="49" fontId="95" fillId="18" borderId="9" xfId="10" applyNumberFormat="1" applyFont="1" applyFill="1" applyBorder="1" applyAlignment="1" applyProtection="1">
      <alignment horizontal="center" vertical="center" wrapText="1"/>
      <protection locked="0"/>
    </xf>
    <xf numFmtId="49" fontId="95" fillId="18" borderId="7" xfId="10" applyNumberFormat="1" applyFont="1" applyFill="1" applyBorder="1" applyAlignment="1" applyProtection="1">
      <alignment horizontal="center" vertical="center" wrapText="1"/>
      <protection locked="0"/>
    </xf>
    <xf numFmtId="49" fontId="95" fillId="18" borderId="6" xfId="10" applyNumberFormat="1" applyFont="1" applyFill="1" applyBorder="1" applyAlignment="1" applyProtection="1">
      <alignment horizontal="center" vertical="center" wrapText="1"/>
      <protection locked="0"/>
    </xf>
    <xf numFmtId="49" fontId="91" fillId="14" borderId="93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119" xfId="10" applyNumberFormat="1" applyFont="1" applyFill="1" applyBorder="1" applyAlignment="1" applyProtection="1">
      <alignment horizontal="left" vertical="center"/>
      <protection locked="0"/>
    </xf>
    <xf numFmtId="0" fontId="0" fillId="0" borderId="131" xfId="0" applyBorder="1" applyAlignment="1">
      <alignment vertical="center" wrapText="1"/>
    </xf>
    <xf numFmtId="49" fontId="89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5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7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8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177" xfId="10" applyNumberFormat="1" applyFont="1" applyFill="1" applyBorder="1" applyAlignment="1" applyProtection="1">
      <alignment horizontal="left" vertical="center" wrapText="1"/>
      <protection locked="0"/>
    </xf>
    <xf numFmtId="0" fontId="96" fillId="0" borderId="178" xfId="0" applyFont="1" applyBorder="1" applyAlignment="1">
      <alignment horizontal="left" vertical="center" wrapText="1"/>
    </xf>
    <xf numFmtId="49" fontId="89" fillId="14" borderId="151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152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168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20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33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37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60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59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17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6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59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174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93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193" xfId="10" applyNumberFormat="1" applyFont="1" applyFill="1" applyBorder="1" applyAlignment="1" applyProtection="1">
      <alignment horizontal="left" vertical="center"/>
      <protection locked="0"/>
    </xf>
    <xf numFmtId="49" fontId="91" fillId="14" borderId="19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203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20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1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15" xfId="10" applyNumberFormat="1" applyFont="1" applyFill="1" applyBorder="1" applyAlignment="1" applyProtection="1">
      <alignment horizontal="center" vertical="center" wrapText="1"/>
      <protection locked="0"/>
    </xf>
    <xf numFmtId="49" fontId="89" fillId="14" borderId="216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217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175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17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6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7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16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7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2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1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17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221" xfId="10" applyNumberFormat="1" applyFont="1" applyFill="1" applyBorder="1" applyAlignment="1" applyProtection="1">
      <alignment horizontal="left" vertical="center" wrapText="1"/>
      <protection locked="0"/>
    </xf>
    <xf numFmtId="49" fontId="89" fillId="18" borderId="93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93" xfId="0" applyFont="1" applyBorder="1" applyAlignment="1">
      <alignment horizontal="left" vertical="center" wrapText="1"/>
    </xf>
    <xf numFmtId="49" fontId="88" fillId="18" borderId="221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221" xfId="0" applyFont="1" applyBorder="1" applyAlignment="1">
      <alignment horizontal="left" vertical="center" wrapText="1"/>
    </xf>
    <xf numFmtId="0" fontId="91" fillId="0" borderId="221" xfId="10" applyNumberFormat="1" applyFont="1" applyFill="1" applyBorder="1" applyAlignment="1" applyProtection="1">
      <alignment horizontal="left" vertical="center"/>
      <protection locked="0"/>
    </xf>
    <xf numFmtId="49" fontId="88" fillId="18" borderId="225" xfId="10" applyNumberFormat="1" applyFont="1" applyFill="1" applyBorder="1" applyAlignment="1" applyProtection="1">
      <alignment horizontal="center" vertical="center" wrapText="1"/>
      <protection locked="0"/>
    </xf>
    <xf numFmtId="49" fontId="88" fillId="18" borderId="226" xfId="10" applyNumberFormat="1" applyFont="1" applyFill="1" applyBorder="1" applyAlignment="1" applyProtection="1">
      <alignment horizontal="center" vertical="center" wrapText="1"/>
      <protection locked="0"/>
    </xf>
    <xf numFmtId="49" fontId="91" fillId="14" borderId="0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235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236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243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243" xfId="10" applyNumberFormat="1" applyFont="1" applyFill="1" applyBorder="1" applyAlignment="1" applyProtection="1">
      <alignment horizontal="left" vertical="center"/>
      <protection locked="0"/>
    </xf>
    <xf numFmtId="49" fontId="91" fillId="14" borderId="243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22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4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55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259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26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4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49" xfId="10" applyNumberFormat="1" applyFont="1" applyFill="1" applyBorder="1" applyAlignment="1" applyProtection="1">
      <alignment horizontal="center" vertical="center" wrapText="1"/>
      <protection locked="0"/>
    </xf>
    <xf numFmtId="49" fontId="89" fillId="14" borderId="251" xfId="10" applyNumberFormat="1" applyFont="1" applyFill="1" applyBorder="1" applyAlignment="1" applyProtection="1">
      <alignment horizontal="left" vertical="center" wrapText="1"/>
      <protection locked="0"/>
    </xf>
    <xf numFmtId="0" fontId="87" fillId="0" borderId="252" xfId="0" applyFont="1" applyBorder="1" applyAlignment="1">
      <alignment horizontal="left" vertical="center" wrapText="1"/>
    </xf>
    <xf numFmtId="49" fontId="88" fillId="14" borderId="254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261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262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9" xfId="10" applyNumberFormat="1" applyFont="1" applyFill="1" applyBorder="1" applyAlignment="1" applyProtection="1">
      <alignment horizontal="center" vertical="center" wrapText="1"/>
      <protection locked="0"/>
    </xf>
    <xf numFmtId="49" fontId="89" fillId="0" borderId="7" xfId="10" applyNumberFormat="1" applyFont="1" applyFill="1" applyBorder="1" applyAlignment="1" applyProtection="1">
      <alignment horizontal="center" vertical="center" wrapText="1"/>
      <protection locked="0"/>
    </xf>
    <xf numFmtId="49" fontId="89" fillId="0" borderId="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6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70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7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72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6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5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60" xfId="10" applyNumberFormat="1" applyFont="1" applyFill="1" applyBorder="1" applyAlignment="1" applyProtection="1">
      <alignment horizontal="center" vertical="center" wrapText="1"/>
      <protection locked="0"/>
    </xf>
    <xf numFmtId="0" fontId="96" fillId="0" borderId="243" xfId="0" applyFont="1" applyBorder="1" applyAlignment="1">
      <alignment horizontal="left" vertical="center" wrapText="1"/>
    </xf>
    <xf numFmtId="49" fontId="88" fillId="14" borderId="74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28" xfId="10" applyNumberFormat="1" applyFont="1" applyFill="1" applyBorder="1" applyAlignment="1" applyProtection="1">
      <alignment horizontal="center" vertical="center" wrapText="1"/>
      <protection locked="0"/>
    </xf>
    <xf numFmtId="49" fontId="89" fillId="18" borderId="233" xfId="10" applyNumberFormat="1" applyFont="1" applyFill="1" applyBorder="1" applyAlignment="1" applyProtection="1">
      <alignment horizontal="left" vertical="center" wrapText="1"/>
      <protection locked="0"/>
    </xf>
    <xf numFmtId="49" fontId="89" fillId="18" borderId="174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275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276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283" xfId="10" applyNumberFormat="1" applyFont="1" applyFill="1" applyBorder="1" applyAlignment="1" applyProtection="1">
      <alignment horizontal="left" vertical="center" wrapText="1"/>
      <protection locked="0"/>
    </xf>
    <xf numFmtId="0" fontId="96" fillId="0" borderId="283" xfId="0" applyFont="1" applyBorder="1" applyAlignment="1">
      <alignment horizontal="left" vertical="center" wrapText="1"/>
    </xf>
    <xf numFmtId="49" fontId="88" fillId="0" borderId="283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283" xfId="10" applyNumberFormat="1" applyFont="1" applyFill="1" applyBorder="1" applyAlignment="1" applyProtection="1">
      <alignment horizontal="left" vertical="center"/>
      <protection locked="0"/>
    </xf>
    <xf numFmtId="49" fontId="88" fillId="14" borderId="28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288" xfId="10" applyNumberFormat="1" applyFont="1" applyFill="1" applyBorder="1" applyAlignment="1" applyProtection="1">
      <alignment horizontal="center" vertical="center" wrapText="1"/>
      <protection locked="0"/>
    </xf>
    <xf numFmtId="49" fontId="89" fillId="18" borderId="287" xfId="10" applyNumberFormat="1" applyFont="1" applyFill="1" applyBorder="1" applyAlignment="1" applyProtection="1">
      <alignment horizontal="left" vertical="center" wrapText="1"/>
      <protection locked="0"/>
    </xf>
    <xf numFmtId="49" fontId="89" fillId="18" borderId="290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291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234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29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83" xfId="10" applyNumberFormat="1" applyFont="1" applyFill="1" applyBorder="1" applyAlignment="1" applyProtection="1">
      <alignment horizontal="left" vertical="center" wrapText="1"/>
      <protection locked="0"/>
    </xf>
    <xf numFmtId="0" fontId="96" fillId="0" borderId="93" xfId="0" applyFont="1" applyBorder="1" applyAlignment="1">
      <alignment horizontal="left" vertical="center" wrapText="1"/>
    </xf>
    <xf numFmtId="49" fontId="88" fillId="14" borderId="301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294" xfId="10" applyNumberFormat="1" applyFont="1" applyFill="1" applyBorder="1" applyAlignment="1" applyProtection="1">
      <alignment horizontal="left" vertical="center"/>
      <protection locked="0"/>
    </xf>
    <xf numFmtId="49" fontId="91" fillId="14" borderId="233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17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294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3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37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294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301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29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5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0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10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316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316" xfId="10" applyNumberFormat="1" applyFont="1" applyFill="1" applyBorder="1" applyAlignment="1" applyProtection="1">
      <alignment horizontal="left" vertical="center"/>
      <protection locked="0"/>
    </xf>
    <xf numFmtId="49" fontId="91" fillId="14" borderId="799" xfId="10" applyNumberFormat="1" applyFont="1" applyFill="1" applyBorder="1" applyAlignment="1" applyProtection="1">
      <alignment horizontal="left" vertical="center" wrapText="1"/>
      <protection locked="0"/>
    </xf>
    <xf numFmtId="0" fontId="96" fillId="0" borderId="294" xfId="0" applyFont="1" applyBorder="1" applyAlignment="1">
      <alignment horizontal="left" vertical="center" wrapText="1"/>
    </xf>
    <xf numFmtId="49" fontId="88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7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5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5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7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71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371" xfId="10" applyNumberFormat="1" applyFont="1" applyFill="1" applyBorder="1" applyAlignment="1" applyProtection="1">
      <alignment horizontal="left" vertical="center" wrapText="1"/>
      <protection locked="0"/>
    </xf>
    <xf numFmtId="0" fontId="96" fillId="0" borderId="371" xfId="0" applyFont="1" applyBorder="1" applyAlignment="1">
      <alignment horizontal="left" vertical="center" wrapText="1"/>
    </xf>
    <xf numFmtId="49" fontId="88" fillId="14" borderId="32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28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31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1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3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3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38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49" fontId="89" fillId="0" borderId="75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5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0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49" fontId="89" fillId="14" borderId="757" xfId="10" applyNumberFormat="1" applyFont="1" applyFill="1" applyBorder="1" applyAlignment="1" applyProtection="1">
      <alignment horizontal="left" vertical="center" wrapText="1"/>
      <protection locked="0"/>
    </xf>
    <xf numFmtId="0" fontId="87" fillId="0" borderId="757" xfId="0" applyFont="1" applyBorder="1" applyAlignment="1">
      <alignment horizontal="left" vertical="center" wrapText="1"/>
    </xf>
    <xf numFmtId="0" fontId="0" fillId="0" borderId="757" xfId="0" applyFont="1" applyBorder="1" applyAlignment="1">
      <alignment horizontal="left" vertical="center" wrapText="1"/>
    </xf>
    <xf numFmtId="49" fontId="88" fillId="0" borderId="366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366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378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366" xfId="10" applyNumberFormat="1" applyFont="1" applyFill="1" applyBorder="1" applyAlignment="1" applyProtection="1">
      <alignment horizontal="left" vertical="center" wrapText="1"/>
      <protection locked="0"/>
    </xf>
    <xf numFmtId="0" fontId="87" fillId="0" borderId="93" xfId="0" applyFont="1" applyBorder="1" applyAlignment="1">
      <alignment horizontal="left" vertical="center" wrapText="1"/>
    </xf>
    <xf numFmtId="49" fontId="88" fillId="14" borderId="366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366" xfId="0" applyFont="1" applyBorder="1" applyAlignment="1">
      <alignment horizontal="left" vertical="center" wrapText="1"/>
    </xf>
    <xf numFmtId="49" fontId="89" fillId="14" borderId="366" xfId="10" applyNumberFormat="1" applyFont="1" applyFill="1" applyBorder="1" applyAlignment="1" applyProtection="1">
      <alignment horizontal="left" vertical="center" wrapText="1"/>
      <protection locked="0"/>
    </xf>
    <xf numFmtId="0" fontId="87" fillId="0" borderId="366" xfId="0" applyFont="1" applyBorder="1" applyAlignment="1">
      <alignment horizontal="left" vertical="center" wrapText="1"/>
    </xf>
    <xf numFmtId="49" fontId="88" fillId="14" borderId="39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397" xfId="10" applyNumberFormat="1" applyFont="1" applyFill="1" applyBorder="1" applyAlignment="1" applyProtection="1">
      <alignment horizontal="center" vertical="center" wrapText="1"/>
      <protection locked="0"/>
    </xf>
    <xf numFmtId="49" fontId="89" fillId="0" borderId="402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378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13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409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409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133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409" xfId="0" applyFont="1" applyBorder="1" applyAlignment="1">
      <alignment horizontal="left" vertical="center" wrapText="1"/>
    </xf>
    <xf numFmtId="0" fontId="91" fillId="0" borderId="366" xfId="10" applyNumberFormat="1" applyFont="1" applyFill="1" applyBorder="1" applyAlignment="1" applyProtection="1">
      <alignment horizontal="left" vertical="center"/>
      <protection locked="0"/>
    </xf>
    <xf numFmtId="49" fontId="91" fillId="14" borderId="755" xfId="10" applyNumberFormat="1" applyFont="1" applyFill="1" applyBorder="1" applyAlignment="1" applyProtection="1">
      <alignment horizontal="left" vertical="center" wrapText="1"/>
      <protection locked="0"/>
    </xf>
    <xf numFmtId="49" fontId="95" fillId="0" borderId="9" xfId="10" applyNumberFormat="1" applyFont="1" applyFill="1" applyBorder="1" applyAlignment="1" applyProtection="1">
      <alignment horizontal="center" vertical="center" wrapText="1"/>
      <protection locked="0"/>
    </xf>
    <xf numFmtId="49" fontId="95" fillId="0" borderId="7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88" fillId="14" borderId="409" xfId="10" applyNumberFormat="1" applyFont="1" applyFill="1" applyBorder="1" applyAlignment="1" applyProtection="1">
      <alignment horizontal="left" vertical="center" wrapText="1"/>
      <protection locked="0"/>
    </xf>
    <xf numFmtId="49" fontId="95" fillId="0" borderId="412" xfId="10" applyNumberFormat="1" applyFont="1" applyFill="1" applyBorder="1" applyAlignment="1" applyProtection="1">
      <alignment horizontal="center" vertical="center" wrapText="1"/>
      <protection locked="0"/>
    </xf>
    <xf numFmtId="49" fontId="89" fillId="14" borderId="417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37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72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70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41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78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93" xfId="0" applyBorder="1" applyAlignment="1">
      <alignment horizontal="left" vertical="center" wrapText="1"/>
    </xf>
    <xf numFmtId="49" fontId="88" fillId="0" borderId="116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11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0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42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338" xfId="10" applyNumberFormat="1" applyFont="1" applyFill="1" applyBorder="1" applyAlignment="1" applyProtection="1">
      <alignment horizontal="left" vertical="center" wrapText="1"/>
      <protection locked="0"/>
    </xf>
    <xf numFmtId="0" fontId="96" fillId="0" borderId="366" xfId="0" applyFont="1" applyBorder="1" applyAlignment="1">
      <alignment horizontal="left" vertical="center" wrapText="1"/>
    </xf>
    <xf numFmtId="49" fontId="91" fillId="14" borderId="444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444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444" xfId="10" applyNumberFormat="1" applyFont="1" applyFill="1" applyBorder="1" applyAlignment="1" applyProtection="1">
      <alignment horizontal="left" vertical="center"/>
      <protection locked="0"/>
    </xf>
    <xf numFmtId="49" fontId="88" fillId="14" borderId="453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437" xfId="10" applyNumberFormat="1" applyFont="1" applyFill="1" applyBorder="1" applyAlignment="1" applyProtection="1">
      <alignment horizontal="left" vertical="center" wrapText="1"/>
      <protection locked="0"/>
    </xf>
    <xf numFmtId="0" fontId="96" fillId="0" borderId="444" xfId="0" applyFont="1" applyBorder="1" applyAlignment="1">
      <alignment horizontal="left" vertical="center" wrapText="1"/>
    </xf>
    <xf numFmtId="49" fontId="88" fillId="14" borderId="46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61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462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62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9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462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462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472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17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484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485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48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7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79" xfId="10" applyNumberFormat="1" applyFont="1" applyFill="1" applyBorder="1" applyAlignment="1" applyProtection="1">
      <alignment horizontal="center" vertical="center" wrapText="1"/>
      <protection locked="0"/>
    </xf>
    <xf numFmtId="49" fontId="89" fillId="14" borderId="489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49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8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90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462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462" xfId="0" applyFont="1" applyBorder="1" applyAlignment="1">
      <alignment horizontal="left" vertical="center" wrapText="1"/>
    </xf>
    <xf numFmtId="49" fontId="89" fillId="14" borderId="75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72" xfId="10" applyNumberFormat="1" applyFont="1" applyFill="1" applyBorder="1" applyAlignment="1" applyProtection="1">
      <alignment horizontal="left" vertical="center" wrapText="1"/>
      <protection locked="0"/>
    </xf>
    <xf numFmtId="0" fontId="87" fillId="0" borderId="462" xfId="0" applyFont="1" applyBorder="1" applyAlignment="1">
      <alignment horizontal="left" vertical="center" wrapText="1"/>
    </xf>
    <xf numFmtId="0" fontId="0" fillId="0" borderId="462" xfId="0" applyBorder="1" applyAlignment="1">
      <alignment horizontal="left" vertical="center" wrapText="1"/>
    </xf>
    <xf numFmtId="49" fontId="88" fillId="18" borderId="466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466" xfId="0" applyFont="1" applyBorder="1" applyAlignment="1">
      <alignment horizontal="left" vertical="center" wrapText="1"/>
    </xf>
    <xf numFmtId="49" fontId="88" fillId="4" borderId="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66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418" xfId="10" applyNumberFormat="1" applyFont="1" applyFill="1" applyBorder="1" applyAlignment="1" applyProtection="1">
      <alignment horizontal="left" wrapText="1"/>
      <protection locked="0"/>
    </xf>
    <xf numFmtId="49" fontId="89" fillId="14" borderId="133" xfId="10" applyNumberFormat="1" applyFont="1" applyFill="1" applyBorder="1" applyAlignment="1" applyProtection="1">
      <alignment horizontal="left" wrapText="1"/>
      <protection locked="0"/>
    </xf>
    <xf numFmtId="49" fontId="88" fillId="0" borderId="466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466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0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05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11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1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1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12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18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133" xfId="0" applyBorder="1" applyAlignment="1">
      <alignment vertical="center" wrapText="1"/>
    </xf>
    <xf numFmtId="49" fontId="88" fillId="0" borderId="519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2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6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81" xfId="0" applyBorder="1" applyAlignment="1">
      <alignment vertical="center" wrapText="1"/>
    </xf>
    <xf numFmtId="49" fontId="89" fillId="14" borderId="525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466" xfId="10" applyNumberFormat="1" applyFont="1" applyFill="1" applyBorder="1" applyAlignment="1" applyProtection="1">
      <alignment horizontal="left" vertical="center"/>
      <protection locked="0"/>
    </xf>
    <xf numFmtId="49" fontId="91" fillId="14" borderId="51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34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34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534" xfId="10" applyNumberFormat="1" applyFont="1" applyFill="1" applyBorder="1" applyAlignment="1" applyProtection="1">
      <alignment horizontal="left" vertical="center"/>
      <protection locked="0"/>
    </xf>
    <xf numFmtId="49" fontId="91" fillId="14" borderId="525" xfId="10" applyNumberFormat="1" applyFont="1" applyFill="1" applyBorder="1" applyAlignment="1" applyProtection="1">
      <alignment horizontal="left" vertical="center" wrapText="1"/>
      <protection locked="0"/>
    </xf>
    <xf numFmtId="0" fontId="96" fillId="0" borderId="525" xfId="0" applyFont="1" applyBorder="1" applyAlignment="1">
      <alignment horizontal="left" vertical="center" wrapText="1"/>
    </xf>
    <xf numFmtId="49" fontId="88" fillId="0" borderId="530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534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534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46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534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64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65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41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72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71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46" xfId="10" applyNumberFormat="1" applyFont="1" applyFill="1" applyBorder="1" applyAlignment="1" applyProtection="1">
      <alignment horizontal="left" vertical="center" wrapText="1"/>
      <protection locked="0"/>
    </xf>
    <xf numFmtId="0" fontId="96" fillId="0" borderId="534" xfId="0" applyFont="1" applyBorder="1" applyAlignment="1">
      <alignment horizontal="left" vertical="center" wrapText="1"/>
    </xf>
    <xf numFmtId="49" fontId="88" fillId="0" borderId="505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47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551" xfId="10" applyNumberFormat="1" applyFont="1" applyFill="1" applyBorder="1" applyAlignment="1" applyProtection="1">
      <alignment horizontal="left" vertical="center"/>
      <protection locked="0"/>
    </xf>
    <xf numFmtId="49" fontId="91" fillId="14" borderId="505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59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56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4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7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81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93" xfId="10" applyNumberFormat="1" applyFont="1" applyFill="1" applyBorder="1" applyAlignment="1" applyProtection="1">
      <alignment horizontal="left" vertical="center"/>
      <protection locked="0"/>
    </xf>
    <xf numFmtId="0" fontId="0" fillId="0" borderId="534" xfId="0" applyFont="1" applyBorder="1" applyAlignment="1">
      <alignment horizontal="left" vertical="center" wrapText="1"/>
    </xf>
    <xf numFmtId="49" fontId="88" fillId="14" borderId="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42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42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62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763" xfId="0" applyBorder="1" applyAlignment="1">
      <alignment vertical="center" wrapText="1"/>
    </xf>
    <xf numFmtId="49" fontId="88" fillId="18" borderId="586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58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8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8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9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9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5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503" xfId="10" applyNumberFormat="1" applyFont="1" applyFill="1" applyBorder="1" applyAlignment="1" applyProtection="1">
      <alignment horizontal="center" vertical="center" wrapText="1"/>
      <protection locked="0"/>
    </xf>
    <xf numFmtId="49" fontId="89" fillId="18" borderId="9" xfId="10" applyNumberFormat="1" applyFont="1" applyFill="1" applyBorder="1" applyAlignment="1" applyProtection="1">
      <alignment horizontal="center" vertical="center" wrapText="1"/>
      <protection locked="0"/>
    </xf>
    <xf numFmtId="49" fontId="89" fillId="18" borderId="7" xfId="10" applyNumberFormat="1" applyFont="1" applyFill="1" applyBorder="1" applyAlignment="1" applyProtection="1">
      <alignment horizontal="center" vertical="center" wrapText="1"/>
      <protection locked="0"/>
    </xf>
    <xf numFmtId="49" fontId="89" fillId="18" borderId="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72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73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7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71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557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608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64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07" xfId="10" applyNumberFormat="1" applyFont="1" applyFill="1" applyBorder="1" applyAlignment="1" applyProtection="1">
      <alignment horizontal="center" vertical="center" wrapText="1"/>
      <protection locked="0"/>
    </xf>
    <xf numFmtId="0" fontId="91" fillId="0" borderId="592" xfId="10" applyNumberFormat="1" applyFont="1" applyFill="1" applyBorder="1" applyAlignment="1" applyProtection="1">
      <alignment horizontal="left" vertical="center"/>
      <protection locked="0"/>
    </xf>
    <xf numFmtId="0" fontId="91" fillId="0" borderId="612" xfId="10" applyNumberFormat="1" applyFont="1" applyFill="1" applyBorder="1" applyAlignment="1" applyProtection="1">
      <alignment horizontal="left" vertical="center"/>
      <protection locked="0"/>
    </xf>
    <xf numFmtId="49" fontId="91" fillId="0" borderId="547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745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755" xfId="10" applyNumberFormat="1" applyFont="1" applyFill="1" applyBorder="1" applyAlignment="1" applyProtection="1">
      <alignment horizontal="left" vertical="center"/>
      <protection locked="0"/>
    </xf>
    <xf numFmtId="49" fontId="91" fillId="14" borderId="75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65" xfId="10" applyNumberFormat="1" applyFont="1" applyFill="1" applyBorder="1" applyAlignment="1" applyProtection="1">
      <alignment horizontal="center" vertical="center" wrapText="1"/>
      <protection locked="0"/>
    </xf>
    <xf numFmtId="49" fontId="89" fillId="0" borderId="614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545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565" xfId="0" applyBorder="1" applyAlignment="1">
      <alignment vertical="center" wrapText="1"/>
    </xf>
    <xf numFmtId="0" fontId="87" fillId="0" borderId="534" xfId="0" applyFont="1" applyBorder="1" applyAlignment="1">
      <alignment horizontal="left" vertical="center" wrapText="1"/>
    </xf>
    <xf numFmtId="0" fontId="0" fillId="0" borderId="534" xfId="0" applyBorder="1" applyAlignment="1">
      <alignment horizontal="left" vertical="center" wrapText="1"/>
    </xf>
    <xf numFmtId="49" fontId="88" fillId="0" borderId="581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586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615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614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622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2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86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588" xfId="0" applyBorder="1" applyAlignment="1">
      <alignment horizontal="center" vertical="center" wrapText="1"/>
    </xf>
    <xf numFmtId="49" fontId="89" fillId="14" borderId="419" xfId="10" applyNumberFormat="1" applyFont="1" applyFill="1" applyBorder="1" applyAlignment="1" applyProtection="1">
      <alignment horizontal="left" vertical="center" wrapText="1"/>
      <protection locked="0"/>
    </xf>
    <xf numFmtId="0" fontId="87" fillId="0" borderId="77" xfId="0" applyFont="1" applyBorder="1" applyAlignment="1">
      <alignment horizontal="left" vertical="center" wrapText="1"/>
    </xf>
    <xf numFmtId="0" fontId="0" fillId="0" borderId="773" xfId="0" applyBorder="1" applyAlignment="1">
      <alignment vertical="center" wrapText="1"/>
    </xf>
    <xf numFmtId="0" fontId="87" fillId="0" borderId="755" xfId="0" applyFont="1" applyBorder="1" applyAlignment="1">
      <alignment horizontal="left" vertical="center" wrapText="1"/>
    </xf>
    <xf numFmtId="0" fontId="0" fillId="0" borderId="581" xfId="0" applyBorder="1" applyAlignment="1">
      <alignment horizontal="left" vertical="center" wrapText="1"/>
    </xf>
    <xf numFmtId="49" fontId="89" fillId="14" borderId="557" xfId="10" applyNumberFormat="1" applyFont="1" applyFill="1" applyBorder="1" applyAlignment="1" applyProtection="1">
      <alignment horizontal="left" vertical="center" wrapText="1"/>
      <protection locked="0"/>
    </xf>
    <xf numFmtId="0" fontId="87" fillId="0" borderId="547" xfId="0" applyFont="1" applyBorder="1" applyAlignment="1">
      <alignment horizontal="left" vertical="center" wrapText="1"/>
    </xf>
    <xf numFmtId="49" fontId="88" fillId="0" borderId="62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35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3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29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80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43" xfId="10" applyNumberFormat="1" applyFont="1" applyFill="1" applyBorder="1" applyAlignment="1" applyProtection="1">
      <alignment horizontal="left" vertical="center" wrapText="1"/>
      <protection locked="0"/>
    </xf>
    <xf numFmtId="49" fontId="89" fillId="14" borderId="64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4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47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49" xfId="10" applyNumberFormat="1" applyFont="1" applyFill="1" applyBorder="1" applyAlignment="1" applyProtection="1">
      <alignment horizontal="left" vertical="center" wrapText="1"/>
      <protection locked="0"/>
    </xf>
    <xf numFmtId="49" fontId="91" fillId="0" borderId="649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87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46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47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43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7" xfId="10" applyNumberFormat="1" applyFont="1" applyFill="1" applyBorder="1" applyAlignment="1" applyProtection="1">
      <alignment horizontal="center" vertical="center" wrapText="1"/>
      <protection locked="0"/>
    </xf>
    <xf numFmtId="49" fontId="91" fillId="14" borderId="64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53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53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133" xfId="10" applyNumberFormat="1" applyFont="1" applyFill="1" applyBorder="1" applyAlignment="1" applyProtection="1">
      <alignment horizontal="center" vertical="center" wrapText="1"/>
      <protection locked="0"/>
    </xf>
    <xf numFmtId="49" fontId="91" fillId="14" borderId="629" xfId="10" applyNumberFormat="1" applyFont="1" applyFill="1" applyBorder="1" applyAlignment="1" applyProtection="1">
      <alignment horizontal="left" vertical="center" wrapText="1"/>
      <protection locked="0"/>
    </xf>
    <xf numFmtId="0" fontId="96" fillId="0" borderId="629" xfId="0" applyFont="1" applyBorder="1" applyAlignment="1">
      <alignment horizontal="left" vertical="center" wrapText="1"/>
    </xf>
    <xf numFmtId="49" fontId="88" fillId="0" borderId="592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12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587" xfId="10" applyNumberFormat="1" applyFont="1" applyFill="1" applyBorder="1" applyAlignment="1" applyProtection="1">
      <alignment horizontal="center" vertical="center" wrapText="1"/>
      <protection locked="0"/>
    </xf>
    <xf numFmtId="49" fontId="89" fillId="0" borderId="116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71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672" xfId="10" applyNumberFormat="1" applyFont="1" applyFill="1" applyBorder="1" applyAlignment="1" applyProtection="1">
      <alignment horizontal="left" vertical="center" wrapText="1"/>
      <protection locked="0"/>
    </xf>
    <xf numFmtId="49" fontId="88" fillId="18" borderId="76" xfId="10" applyNumberFormat="1" applyFont="1" applyFill="1" applyBorder="1" applyAlignment="1" applyProtection="1">
      <alignment horizontal="center" vertical="center" wrapText="1"/>
      <protection locked="0"/>
    </xf>
    <xf numFmtId="49" fontId="88" fillId="0" borderId="676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77" xfId="10" applyNumberFormat="1" applyFont="1" applyFill="1" applyBorder="1" applyAlignment="1" applyProtection="1">
      <alignment horizontal="left" vertical="center" wrapText="1"/>
      <protection locked="0"/>
    </xf>
    <xf numFmtId="0" fontId="91" fillId="0" borderId="680" xfId="10" applyNumberFormat="1" applyFont="1" applyFill="1" applyBorder="1" applyAlignment="1" applyProtection="1">
      <alignment horizontal="left" vertical="center"/>
      <protection locked="0"/>
    </xf>
    <xf numFmtId="0" fontId="91" fillId="0" borderId="681" xfId="10" applyNumberFormat="1" applyFont="1" applyFill="1" applyBorder="1" applyAlignment="1" applyProtection="1">
      <alignment horizontal="left" vertical="center"/>
      <protection locked="0"/>
    </xf>
    <xf numFmtId="49" fontId="91" fillId="14" borderId="686" xfId="10" applyNumberFormat="1" applyFont="1" applyFill="1" applyBorder="1" applyAlignment="1" applyProtection="1">
      <alignment horizontal="left" vertical="center" wrapText="1"/>
      <protection locked="0"/>
    </xf>
    <xf numFmtId="49" fontId="91" fillId="14" borderId="687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94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95" xfId="10" applyNumberFormat="1" applyFont="1" applyFill="1" applyBorder="1" applyAlignment="1" applyProtection="1">
      <alignment horizontal="left" vertical="center" wrapText="1"/>
      <protection locked="0"/>
    </xf>
    <xf numFmtId="49" fontId="89" fillId="15" borderId="41" xfId="10" applyNumberFormat="1" applyFont="1" applyFill="1" applyBorder="1" applyAlignment="1" applyProtection="1">
      <alignment horizontal="center" vertical="center" wrapText="1"/>
      <protection locked="0"/>
    </xf>
    <xf numFmtId="49" fontId="89" fillId="15" borderId="35" xfId="10" applyNumberFormat="1" applyFont="1" applyFill="1" applyBorder="1" applyAlignment="1" applyProtection="1">
      <alignment horizontal="center" vertical="center" wrapText="1"/>
      <protection locked="0"/>
    </xf>
    <xf numFmtId="49" fontId="89" fillId="15" borderId="36" xfId="10" applyNumberFormat="1" applyFont="1" applyFill="1" applyBorder="1" applyAlignment="1" applyProtection="1">
      <alignment horizontal="center" vertical="center" wrapText="1"/>
      <protection locked="0"/>
    </xf>
    <xf numFmtId="49" fontId="89" fillId="14" borderId="76" xfId="10" applyNumberFormat="1" applyFont="1" applyFill="1" applyBorder="1" applyAlignment="1" applyProtection="1">
      <alignment horizontal="center" vertical="center" wrapText="1"/>
      <protection locked="0"/>
    </xf>
    <xf numFmtId="49" fontId="89" fillId="14" borderId="0" xfId="10" applyNumberFormat="1" applyFont="1" applyFill="1" applyBorder="1" applyAlignment="1" applyProtection="1">
      <alignment horizontal="center" vertical="center" wrapText="1"/>
      <protection locked="0"/>
    </xf>
    <xf numFmtId="49" fontId="89" fillId="13" borderId="41" xfId="10" applyNumberFormat="1" applyFont="1" applyFill="1" applyBorder="1" applyAlignment="1" applyProtection="1">
      <alignment horizontal="center" vertical="top" wrapText="1"/>
      <protection locked="0"/>
    </xf>
    <xf numFmtId="49" fontId="89" fillId="13" borderId="35" xfId="10" applyNumberFormat="1" applyFont="1" applyFill="1" applyBorder="1" applyAlignment="1" applyProtection="1">
      <alignment horizontal="center" vertical="top" wrapText="1"/>
      <protection locked="0"/>
    </xf>
    <xf numFmtId="49" fontId="9" fillId="17" borderId="41" xfId="1" applyNumberFormat="1" applyFont="1" applyFill="1" applyBorder="1" applyAlignment="1">
      <alignment horizontal="left" vertical="center"/>
    </xf>
    <xf numFmtId="49" fontId="9" fillId="17" borderId="35" xfId="1" applyNumberFormat="1" applyFont="1" applyFill="1" applyBorder="1" applyAlignment="1">
      <alignment horizontal="left" vertical="center"/>
    </xf>
    <xf numFmtId="49" fontId="88" fillId="14" borderId="698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699" xfId="10" applyNumberFormat="1" applyFont="1" applyFill="1" applyBorder="1" applyAlignment="1" applyProtection="1">
      <alignment horizontal="center" vertical="center" wrapText="1"/>
      <protection locked="0"/>
    </xf>
    <xf numFmtId="49" fontId="88" fillId="14" borderId="700" xfId="10" applyNumberFormat="1" applyFont="1" applyFill="1" applyBorder="1" applyAlignment="1" applyProtection="1">
      <alignment horizontal="left" vertical="center" wrapText="1"/>
      <protection locked="0"/>
    </xf>
    <xf numFmtId="49" fontId="88" fillId="14" borderId="701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706" xfId="10" applyNumberFormat="1" applyFont="1" applyFill="1" applyBorder="1" applyAlignment="1" applyProtection="1">
      <alignment horizontal="left" vertical="center" wrapText="1"/>
      <protection locked="0"/>
    </xf>
    <xf numFmtId="49" fontId="89" fillId="0" borderId="707" xfId="10" applyNumberFormat="1" applyFont="1" applyFill="1" applyBorder="1" applyAlignment="1" applyProtection="1">
      <alignment horizontal="left" vertical="center" wrapText="1"/>
      <protection locked="0"/>
    </xf>
    <xf numFmtId="49" fontId="88" fillId="0" borderId="672" xfId="10" applyNumberFormat="1" applyFont="1" applyFill="1" applyBorder="1" applyAlignment="1" applyProtection="1">
      <alignment horizontal="left" vertical="center" wrapText="1"/>
      <protection locked="0"/>
    </xf>
    <xf numFmtId="0" fontId="7" fillId="0" borderId="29" xfId="1" applyFont="1" applyFill="1" applyBorder="1" applyAlignment="1">
      <alignment horizontal="left" vertical="center"/>
    </xf>
    <xf numFmtId="0" fontId="88" fillId="0" borderId="710" xfId="10" applyNumberFormat="1" applyFont="1" applyFill="1" applyBorder="1" applyAlignment="1" applyProtection="1">
      <alignment horizontal="left" vertical="center"/>
      <protection locked="0"/>
    </xf>
    <xf numFmtId="0" fontId="88" fillId="0" borderId="711" xfId="10" applyNumberFormat="1" applyFont="1" applyFill="1" applyBorder="1" applyAlignment="1" applyProtection="1">
      <alignment horizontal="left" vertical="center"/>
      <protection locked="0"/>
    </xf>
    <xf numFmtId="0" fontId="7" fillId="0" borderId="706" xfId="1" applyFont="1" applyFill="1" applyBorder="1" applyAlignment="1">
      <alignment horizontal="left" vertical="center"/>
    </xf>
    <xf numFmtId="0" fontId="88" fillId="0" borderId="615" xfId="10" applyNumberFormat="1" applyFont="1" applyFill="1" applyBorder="1" applyAlignment="1" applyProtection="1">
      <alignment horizontal="left" vertical="center"/>
      <protection locked="0"/>
    </xf>
    <xf numFmtId="0" fontId="88" fillId="0" borderId="708" xfId="10" applyNumberFormat="1" applyFont="1" applyFill="1" applyBorder="1" applyAlignment="1" applyProtection="1">
      <alignment horizontal="left" vertical="center"/>
      <protection locked="0"/>
    </xf>
    <xf numFmtId="0" fontId="9" fillId="17" borderId="75" xfId="1" applyFont="1" applyFill="1" applyBorder="1" applyAlignment="1">
      <alignment horizontal="left" vertical="center"/>
    </xf>
    <xf numFmtId="0" fontId="95" fillId="17" borderId="10" xfId="10" applyNumberFormat="1" applyFont="1" applyFill="1" applyBorder="1" applyAlignment="1" applyProtection="1">
      <alignment horizontal="left" vertical="center"/>
      <protection locked="0"/>
    </xf>
    <xf numFmtId="0" fontId="95" fillId="17" borderId="85" xfId="10" applyNumberFormat="1" applyFont="1" applyFill="1" applyBorder="1" applyAlignment="1" applyProtection="1">
      <alignment horizontal="left" vertical="center"/>
      <protection locked="0"/>
    </xf>
    <xf numFmtId="0" fontId="7" fillId="0" borderId="419" xfId="1" applyFont="1" applyFill="1" applyBorder="1" applyAlignment="1">
      <alignment horizontal="left" vertical="center"/>
    </xf>
    <xf numFmtId="0" fontId="88" fillId="0" borderId="77" xfId="10" applyNumberFormat="1" applyFont="1" applyFill="1" applyBorder="1" applyAlignment="1" applyProtection="1">
      <alignment horizontal="left" vertical="center"/>
      <protection locked="0"/>
    </xf>
    <xf numFmtId="0" fontId="88" fillId="0" borderId="33" xfId="10" applyNumberFormat="1" applyFont="1" applyFill="1" applyBorder="1" applyAlignment="1" applyProtection="1">
      <alignment horizontal="left" vertical="center"/>
      <protection locked="0"/>
    </xf>
    <xf numFmtId="0" fontId="8" fillId="0" borderId="706" xfId="1" applyFont="1" applyFill="1" applyBorder="1" applyAlignment="1">
      <alignment horizontal="left" vertical="center" wrapText="1"/>
    </xf>
    <xf numFmtId="0" fontId="91" fillId="0" borderId="615" xfId="10" applyNumberFormat="1" applyFont="1" applyFill="1" applyBorder="1" applyAlignment="1" applyProtection="1">
      <alignment horizontal="left" vertical="center"/>
      <protection locked="0"/>
    </xf>
    <xf numFmtId="0" fontId="91" fillId="0" borderId="708" xfId="10" applyNumberFormat="1" applyFont="1" applyFill="1" applyBorder="1" applyAlignment="1" applyProtection="1">
      <alignment horizontal="left" vertical="center"/>
      <protection locked="0"/>
    </xf>
    <xf numFmtId="0" fontId="8" fillId="0" borderId="706" xfId="1" applyFont="1" applyFill="1" applyBorder="1" applyAlignment="1">
      <alignment horizontal="left" vertical="center"/>
    </xf>
    <xf numFmtId="0" fontId="7" fillId="0" borderId="706" xfId="1" applyFont="1" applyFill="1" applyBorder="1" applyAlignment="1">
      <alignment horizontal="left" vertical="center" wrapText="1"/>
    </xf>
    <xf numFmtId="0" fontId="17" fillId="0" borderId="0" xfId="1" applyFont="1" applyAlignment="1">
      <alignment horizontal="right" vertical="center" wrapText="1"/>
    </xf>
    <xf numFmtId="0" fontId="21" fillId="0" borderId="0" xfId="1" applyFont="1" applyAlignment="1">
      <alignment horizontal="center" vertical="center" wrapText="1"/>
    </xf>
    <xf numFmtId="0" fontId="72" fillId="0" borderId="0" xfId="1" applyFont="1" applyAlignment="1">
      <alignment horizontal="right" vertical="center"/>
    </xf>
    <xf numFmtId="0" fontId="99" fillId="20" borderId="48" xfId="1" applyFont="1" applyFill="1" applyBorder="1" applyAlignment="1">
      <alignment horizontal="center" vertical="center"/>
    </xf>
    <xf numFmtId="0" fontId="99" fillId="20" borderId="729" xfId="1" applyFont="1" applyFill="1" applyBorder="1" applyAlignment="1">
      <alignment horizontal="center" vertical="center"/>
    </xf>
    <xf numFmtId="0" fontId="99" fillId="20" borderId="49" xfId="1" applyFont="1" applyFill="1" applyBorder="1" applyAlignment="1">
      <alignment horizontal="center" vertical="center"/>
    </xf>
    <xf numFmtId="0" fontId="99" fillId="20" borderId="712" xfId="1" applyFont="1" applyFill="1" applyBorder="1" applyAlignment="1">
      <alignment horizontal="center" vertical="center"/>
    </xf>
    <xf numFmtId="0" fontId="100" fillId="20" borderId="49" xfId="1" applyFont="1" applyFill="1" applyBorder="1" applyAlignment="1">
      <alignment horizontal="center" vertical="center"/>
    </xf>
    <xf numFmtId="0" fontId="99" fillId="20" borderId="49" xfId="1" applyFont="1" applyFill="1" applyBorder="1" applyAlignment="1">
      <alignment horizontal="center" vertical="center" wrapText="1"/>
    </xf>
    <xf numFmtId="0" fontId="99" fillId="20" borderId="712" xfId="1" applyFont="1" applyFill="1" applyBorder="1" applyAlignment="1">
      <alignment horizontal="center" vertical="center" wrapText="1"/>
    </xf>
    <xf numFmtId="0" fontId="100" fillId="20" borderId="49" xfId="1" applyFont="1" applyFill="1" applyBorder="1" applyAlignment="1">
      <alignment horizontal="center" vertical="center" wrapText="1"/>
    </xf>
    <xf numFmtId="0" fontId="101" fillId="20" borderId="49" xfId="1" applyFont="1" applyFill="1" applyBorder="1" applyAlignment="1">
      <alignment horizontal="center" vertical="center" wrapText="1"/>
    </xf>
    <xf numFmtId="0" fontId="101" fillId="20" borderId="712" xfId="1" applyFont="1" applyFill="1" applyBorder="1" applyAlignment="1">
      <alignment horizontal="center" vertical="center" wrapText="1"/>
    </xf>
    <xf numFmtId="0" fontId="101" fillId="20" borderId="49" xfId="1" applyFont="1" applyFill="1" applyBorder="1" applyAlignment="1">
      <alignment horizontal="center" vertical="center"/>
    </xf>
    <xf numFmtId="0" fontId="101" fillId="20" borderId="46" xfId="1" applyFont="1" applyFill="1" applyBorder="1" applyAlignment="1">
      <alignment horizontal="center" vertical="center"/>
    </xf>
    <xf numFmtId="49" fontId="41" fillId="0" borderId="727" xfId="1" applyNumberFormat="1" applyFont="1" applyBorder="1" applyAlignment="1">
      <alignment horizontal="center" vertical="center"/>
    </xf>
    <xf numFmtId="49" fontId="41" fillId="0" borderId="14" xfId="1" applyNumberFormat="1" applyFont="1" applyBorder="1" applyAlignment="1">
      <alignment horizontal="center" vertical="center"/>
    </xf>
    <xf numFmtId="0" fontId="25" fillId="0" borderId="715" xfId="1" applyFont="1" applyBorder="1" applyAlignment="1">
      <alignment horizontal="left" vertical="center" wrapText="1"/>
    </xf>
    <xf numFmtId="0" fontId="25" fillId="0" borderId="720" xfId="1" applyFont="1" applyBorder="1" applyAlignment="1">
      <alignment horizontal="left" vertical="center" wrapText="1"/>
    </xf>
    <xf numFmtId="0" fontId="41" fillId="0" borderId="716" xfId="1" applyFont="1" applyBorder="1" applyAlignment="1">
      <alignment horizontal="center" vertical="center"/>
    </xf>
    <xf numFmtId="0" fontId="41" fillId="0" borderId="714" xfId="1" applyFont="1" applyBorder="1" applyAlignment="1">
      <alignment horizontal="center" vertical="center"/>
    </xf>
    <xf numFmtId="0" fontId="41" fillId="0" borderId="721" xfId="1" applyFont="1" applyBorder="1" applyAlignment="1">
      <alignment horizontal="center" vertical="center"/>
    </xf>
    <xf numFmtId="0" fontId="41" fillId="0" borderId="38" xfId="1" applyFont="1" applyBorder="1" applyAlignment="1">
      <alignment horizontal="center" vertical="center"/>
    </xf>
    <xf numFmtId="0" fontId="41" fillId="0" borderId="37" xfId="1" applyFont="1" applyBorder="1" applyAlignment="1">
      <alignment horizontal="center" vertical="center"/>
    </xf>
    <xf numFmtId="0" fontId="41" fillId="0" borderId="33" xfId="1" applyFont="1" applyBorder="1" applyAlignment="1">
      <alignment horizontal="center" vertical="center"/>
    </xf>
    <xf numFmtId="49" fontId="41" fillId="0" borderId="281" xfId="1" applyNumberFormat="1" applyFont="1" applyBorder="1" applyAlignment="1">
      <alignment horizontal="center" vertical="center"/>
    </xf>
    <xf numFmtId="0" fontId="41" fillId="0" borderId="715" xfId="1" applyFont="1" applyBorder="1" applyAlignment="1">
      <alignment horizontal="left" vertical="center" wrapText="1"/>
    </xf>
    <xf numFmtId="0" fontId="41" fillId="0" borderId="720" xfId="1" applyFont="1" applyBorder="1" applyAlignment="1">
      <alignment horizontal="left" vertical="center" wrapText="1"/>
    </xf>
    <xf numFmtId="0" fontId="41" fillId="0" borderId="57" xfId="1" applyFont="1" applyBorder="1" applyAlignment="1">
      <alignment horizontal="left" vertical="center" wrapText="1"/>
    </xf>
    <xf numFmtId="0" fontId="41" fillId="0" borderId="715" xfId="1" applyFont="1" applyBorder="1" applyAlignment="1">
      <alignment horizontal="center" vertical="center"/>
    </xf>
    <xf numFmtId="0" fontId="41" fillId="0" borderId="720" xfId="1" applyFont="1" applyBorder="1" applyAlignment="1">
      <alignment horizontal="center" vertical="center"/>
    </xf>
    <xf numFmtId="0" fontId="41" fillId="0" borderId="57" xfId="1" applyFont="1" applyBorder="1" applyAlignment="1">
      <alignment horizontal="center" vertical="center"/>
    </xf>
    <xf numFmtId="49" fontId="41" fillId="0" borderId="715" xfId="1" applyNumberFormat="1" applyFont="1" applyBorder="1" applyAlignment="1">
      <alignment horizontal="center" vertical="center"/>
    </xf>
    <xf numFmtId="49" fontId="41" fillId="0" borderId="720" xfId="1" applyNumberFormat="1" applyFont="1" applyBorder="1" applyAlignment="1">
      <alignment horizontal="center" vertical="center"/>
    </xf>
    <xf numFmtId="49" fontId="41" fillId="0" borderId="57" xfId="1" applyNumberFormat="1" applyFont="1" applyBorder="1" applyAlignment="1">
      <alignment horizontal="center" vertical="center"/>
    </xf>
    <xf numFmtId="49" fontId="9" fillId="21" borderId="712" xfId="1" applyNumberFormat="1" applyFont="1" applyFill="1" applyBorder="1" applyAlignment="1">
      <alignment horizontal="left" vertical="center"/>
    </xf>
    <xf numFmtId="49" fontId="14" fillId="0" borderId="729" xfId="1" applyNumberFormat="1" applyFont="1" applyBorder="1" applyAlignment="1">
      <alignment horizontal="center" vertical="top"/>
    </xf>
    <xf numFmtId="49" fontId="14" fillId="0" borderId="712" xfId="1" applyNumberFormat="1" applyFont="1" applyBorder="1" applyAlignment="1">
      <alignment horizontal="center" vertical="top"/>
    </xf>
    <xf numFmtId="49" fontId="14" fillId="0" borderId="705" xfId="1" applyNumberFormat="1" applyFont="1" applyBorder="1" applyAlignment="1">
      <alignment horizontal="center" vertical="top"/>
    </xf>
    <xf numFmtId="49" fontId="41" fillId="0" borderId="729" xfId="1" applyNumberFormat="1" applyFont="1" applyBorder="1" applyAlignment="1">
      <alignment horizontal="center" vertical="center"/>
    </xf>
    <xf numFmtId="0" fontId="25" fillId="0" borderId="712" xfId="1" applyFont="1" applyBorder="1" applyAlignment="1">
      <alignment horizontal="left" vertical="center" wrapText="1"/>
    </xf>
    <xf numFmtId="0" fontId="41" fillId="0" borderId="712" xfId="1" applyFont="1" applyBorder="1" applyAlignment="1">
      <alignment horizontal="center" vertical="center"/>
    </xf>
    <xf numFmtId="0" fontId="25" fillId="0" borderId="57" xfId="1" applyFont="1" applyBorder="1" applyAlignment="1">
      <alignment horizontal="left" vertical="center" wrapText="1"/>
    </xf>
    <xf numFmtId="0" fontId="41" fillId="0" borderId="712" xfId="1" applyFont="1" applyBorder="1" applyAlignment="1">
      <alignment horizontal="left" vertical="center" wrapText="1"/>
    </xf>
    <xf numFmtId="49" fontId="41" fillId="0" borderId="712" xfId="1" applyNumberFormat="1" applyFont="1" applyBorder="1" applyAlignment="1">
      <alignment horizontal="center" vertical="center"/>
    </xf>
    <xf numFmtId="49" fontId="108" fillId="0" borderId="727" xfId="1" applyNumberFormat="1" applyFont="1" applyBorder="1" applyAlignment="1">
      <alignment horizontal="center" vertical="center"/>
    </xf>
    <xf numFmtId="49" fontId="108" fillId="0" borderId="14" xfId="1" applyNumberFormat="1" applyFont="1" applyBorder="1" applyAlignment="1">
      <alignment horizontal="center" vertical="center"/>
    </xf>
    <xf numFmtId="49" fontId="108" fillId="0" borderId="281" xfId="1" applyNumberFormat="1" applyFont="1" applyBorder="1" applyAlignment="1">
      <alignment horizontal="center" vertical="center"/>
    </xf>
    <xf numFmtId="0" fontId="109" fillId="0" borderId="715" xfId="1" applyFont="1" applyBorder="1" applyAlignment="1">
      <alignment horizontal="left" vertical="center" wrapText="1"/>
    </xf>
    <xf numFmtId="0" fontId="109" fillId="0" borderId="720" xfId="1" applyFont="1" applyBorder="1" applyAlignment="1">
      <alignment horizontal="left" vertical="center" wrapText="1"/>
    </xf>
    <xf numFmtId="0" fontId="109" fillId="0" borderId="57" xfId="1" applyFont="1" applyBorder="1" applyAlignment="1">
      <alignment horizontal="left" vertical="center" wrapText="1"/>
    </xf>
    <xf numFmtId="0" fontId="108" fillId="0" borderId="715" xfId="1" applyFont="1" applyBorder="1" applyAlignment="1">
      <alignment horizontal="center" vertical="center"/>
    </xf>
    <xf numFmtId="0" fontId="108" fillId="0" borderId="720" xfId="1" applyFont="1" applyBorder="1" applyAlignment="1">
      <alignment horizontal="center" vertical="center"/>
    </xf>
    <xf numFmtId="0" fontId="108" fillId="0" borderId="57" xfId="1" applyFont="1" applyBorder="1" applyAlignment="1">
      <alignment horizontal="center" vertical="center"/>
    </xf>
    <xf numFmtId="49" fontId="108" fillId="0" borderId="715" xfId="1" applyNumberFormat="1" applyFont="1" applyBorder="1" applyAlignment="1">
      <alignment horizontal="center" vertical="center"/>
    </xf>
    <xf numFmtId="49" fontId="108" fillId="0" borderId="720" xfId="1" applyNumberFormat="1" applyFont="1" applyBorder="1" applyAlignment="1">
      <alignment horizontal="center" vertical="center"/>
    </xf>
    <xf numFmtId="49" fontId="108" fillId="0" borderId="57" xfId="1" applyNumberFormat="1" applyFont="1" applyBorder="1" applyAlignment="1">
      <alignment horizontal="center" vertical="center"/>
    </xf>
    <xf numFmtId="49" fontId="108" fillId="0" borderId="729" xfId="1" applyNumberFormat="1" applyFont="1" applyBorder="1" applyAlignment="1">
      <alignment horizontal="center" vertical="center"/>
    </xf>
    <xf numFmtId="0" fontId="109" fillId="0" borderId="712" xfId="1" applyFont="1" applyBorder="1" applyAlignment="1">
      <alignment horizontal="left" vertical="center" wrapText="1"/>
    </xf>
    <xf numFmtId="0" fontId="108" fillId="0" borderId="712" xfId="1" applyFont="1" applyBorder="1" applyAlignment="1">
      <alignment horizontal="center" vertical="center"/>
    </xf>
    <xf numFmtId="49" fontId="108" fillId="0" borderId="712" xfId="1" applyNumberFormat="1" applyFont="1" applyBorder="1" applyAlignment="1">
      <alignment horizontal="center" vertical="center"/>
    </xf>
    <xf numFmtId="49" fontId="53" fillId="21" borderId="712" xfId="1" applyNumberFormat="1" applyFont="1" applyFill="1" applyBorder="1" applyAlignment="1">
      <alignment horizontal="left" vertical="center"/>
    </xf>
    <xf numFmtId="49" fontId="9" fillId="21" borderId="712" xfId="1" applyNumberFormat="1" applyFont="1" applyFill="1" applyBorder="1" applyAlignment="1">
      <alignment horizontal="left" vertical="center" wrapText="1"/>
    </xf>
    <xf numFmtId="49" fontId="53" fillId="21" borderId="712" xfId="1" applyNumberFormat="1" applyFont="1" applyFill="1" applyBorder="1" applyAlignment="1">
      <alignment horizontal="left" vertical="center" wrapText="1"/>
    </xf>
    <xf numFmtId="49" fontId="41" fillId="0" borderId="809" xfId="1" applyNumberFormat="1" applyFont="1" applyBorder="1" applyAlignment="1">
      <alignment horizontal="center" vertical="center"/>
    </xf>
    <xf numFmtId="0" fontId="25" fillId="0" borderId="791" xfId="1" applyFont="1" applyBorder="1" applyAlignment="1">
      <alignment horizontal="left" vertical="center" wrapText="1"/>
    </xf>
    <xf numFmtId="0" fontId="41" fillId="0" borderId="791" xfId="1" applyFont="1" applyBorder="1" applyAlignment="1">
      <alignment horizontal="center" vertical="center"/>
    </xf>
    <xf numFmtId="49" fontId="41" fillId="0" borderId="791" xfId="1" applyNumberFormat="1" applyFont="1" applyBorder="1" applyAlignment="1">
      <alignment horizontal="center" vertical="center"/>
    </xf>
    <xf numFmtId="49" fontId="11" fillId="20" borderId="41" xfId="1" applyNumberFormat="1" applyFont="1" applyFill="1" applyBorder="1" applyAlignment="1">
      <alignment horizontal="center" vertical="center"/>
    </xf>
    <xf numFmtId="49" fontId="11" fillId="20" borderId="35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left"/>
    </xf>
    <xf numFmtId="0" fontId="116" fillId="0" borderId="0" xfId="1" applyFont="1" applyAlignment="1">
      <alignment horizontal="left"/>
    </xf>
    <xf numFmtId="0" fontId="117" fillId="0" borderId="0" xfId="1" applyFont="1" applyAlignment="1">
      <alignment horizontal="left"/>
    </xf>
    <xf numFmtId="0" fontId="28" fillId="3" borderId="3" xfId="1" applyFont="1" applyFill="1" applyBorder="1" applyAlignment="1">
      <alignment horizontal="center" vertical="center"/>
    </xf>
    <xf numFmtId="0" fontId="28" fillId="3" borderId="5" xfId="1" applyFont="1" applyFill="1" applyBorder="1" applyAlignment="1">
      <alignment horizontal="center" vertical="center"/>
    </xf>
    <xf numFmtId="0" fontId="28" fillId="3" borderId="4" xfId="1" applyFont="1" applyFill="1" applyBorder="1" applyAlignment="1">
      <alignment horizontal="center" vertical="center"/>
    </xf>
    <xf numFmtId="0" fontId="21" fillId="8" borderId="3" xfId="1" applyFont="1" applyFill="1" applyBorder="1" applyAlignment="1">
      <alignment horizontal="center" vertical="center"/>
    </xf>
    <xf numFmtId="0" fontId="21" fillId="8" borderId="5" xfId="1" applyFont="1" applyFill="1" applyBorder="1" applyAlignment="1">
      <alignment horizontal="center" vertical="center"/>
    </xf>
    <xf numFmtId="0" fontId="21" fillId="8" borderId="4" xfId="1" applyFont="1" applyFill="1" applyBorder="1" applyAlignment="1">
      <alignment horizontal="center" vertical="center"/>
    </xf>
    <xf numFmtId="0" fontId="28" fillId="2" borderId="3" xfId="1" applyFont="1" applyFill="1" applyBorder="1" applyAlignment="1">
      <alignment horizontal="center" vertical="center"/>
    </xf>
    <xf numFmtId="0" fontId="28" fillId="2" borderId="5" xfId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center" vertical="center"/>
    </xf>
    <xf numFmtId="0" fontId="31" fillId="0" borderId="10" xfId="1" applyFont="1" applyBorder="1" applyAlignment="1">
      <alignment horizontal="left"/>
    </xf>
    <xf numFmtId="0" fontId="11" fillId="0" borderId="9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0" fontId="31" fillId="0" borderId="0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1" fillId="0" borderId="71" xfId="1" applyFont="1" applyBorder="1" applyAlignment="1">
      <alignment horizontal="center" vertical="center"/>
    </xf>
    <xf numFmtId="0" fontId="11" fillId="0" borderId="6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7" fillId="0" borderId="7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28" fillId="3" borderId="3" xfId="1" applyFont="1" applyFill="1" applyBorder="1" applyAlignment="1">
      <alignment horizontal="center" vertical="center" wrapText="1"/>
    </xf>
    <xf numFmtId="0" fontId="28" fillId="3" borderId="4" xfId="1" applyFont="1" applyFill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3" fontId="11" fillId="0" borderId="9" xfId="1" applyNumberFormat="1" applyFont="1" applyBorder="1" applyAlignment="1">
      <alignment horizontal="center" vertical="center"/>
    </xf>
    <xf numFmtId="3" fontId="11" fillId="0" borderId="7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9" fillId="0" borderId="0" xfId="1" applyFont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 wrapText="1"/>
    </xf>
    <xf numFmtId="0" fontId="28" fillId="2" borderId="3" xfId="1" applyFont="1" applyFill="1" applyBorder="1" applyAlignment="1">
      <alignment horizontal="center" vertical="center" wrapText="1"/>
    </xf>
    <xf numFmtId="3" fontId="28" fillId="2" borderId="1" xfId="1" applyNumberFormat="1" applyFont="1" applyFill="1" applyBorder="1" applyAlignment="1">
      <alignment horizontal="center" vertical="center" wrapText="1"/>
    </xf>
    <xf numFmtId="0" fontId="11" fillId="4" borderId="18" xfId="1" applyFont="1" applyFill="1" applyBorder="1" applyAlignment="1">
      <alignment horizontal="center" vertical="center"/>
    </xf>
    <xf numFmtId="0" fontId="11" fillId="4" borderId="706" xfId="1" applyFont="1" applyFill="1" applyBorder="1" applyAlignment="1">
      <alignment horizontal="center" vertical="center"/>
    </xf>
    <xf numFmtId="0" fontId="11" fillId="4" borderId="620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49" fontId="11" fillId="4" borderId="2" xfId="1" applyNumberFormat="1" applyFont="1" applyFill="1" applyBorder="1" applyAlignment="1">
      <alignment horizontal="center" vertical="center"/>
    </xf>
    <xf numFmtId="49" fontId="11" fillId="4" borderId="678" xfId="1" applyNumberFormat="1" applyFont="1" applyFill="1" applyBorder="1" applyAlignment="1">
      <alignment horizontal="center" vertical="center"/>
    </xf>
    <xf numFmtId="49" fontId="11" fillId="4" borderId="550" xfId="1" applyNumberFormat="1" applyFont="1" applyFill="1" applyBorder="1" applyAlignment="1">
      <alignment horizontal="center" vertical="center"/>
    </xf>
    <xf numFmtId="3" fontId="11" fillId="4" borderId="2" xfId="1" applyNumberFormat="1" applyFont="1" applyFill="1" applyBorder="1" applyAlignment="1">
      <alignment horizontal="center" vertical="center"/>
    </xf>
    <xf numFmtId="3" fontId="11" fillId="4" borderId="678" xfId="1" applyNumberFormat="1" applyFont="1" applyFill="1" applyBorder="1" applyAlignment="1">
      <alignment horizontal="center" vertical="center"/>
    </xf>
    <xf numFmtId="3" fontId="11" fillId="4" borderId="550" xfId="1" applyNumberFormat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left" vertical="center" wrapText="1"/>
    </xf>
    <xf numFmtId="49" fontId="11" fillId="4" borderId="9" xfId="1" applyNumberFormat="1" applyFont="1" applyFill="1" applyBorder="1" applyAlignment="1">
      <alignment horizontal="center" vertical="center"/>
    </xf>
    <xf numFmtId="49" fontId="11" fillId="4" borderId="7" xfId="1" applyNumberFormat="1" applyFont="1" applyFill="1" applyBorder="1" applyAlignment="1">
      <alignment horizontal="center" vertical="center"/>
    </xf>
    <xf numFmtId="49" fontId="11" fillId="4" borderId="6" xfId="1" applyNumberFormat="1" applyFont="1" applyFill="1" applyBorder="1" applyAlignment="1">
      <alignment horizontal="center" vertical="center"/>
    </xf>
    <xf numFmtId="3" fontId="11" fillId="4" borderId="9" xfId="1" applyNumberFormat="1" applyFont="1" applyFill="1" applyBorder="1" applyAlignment="1">
      <alignment horizontal="center" vertical="center"/>
    </xf>
    <xf numFmtId="3" fontId="11" fillId="4" borderId="7" xfId="1" applyNumberFormat="1" applyFont="1" applyFill="1" applyBorder="1" applyAlignment="1">
      <alignment horizontal="center" vertical="center"/>
    </xf>
    <xf numFmtId="3" fontId="11" fillId="4" borderId="6" xfId="1" applyNumberFormat="1" applyFont="1" applyFill="1" applyBorder="1" applyAlignment="1">
      <alignment horizontal="center" vertical="center"/>
    </xf>
    <xf numFmtId="3" fontId="11" fillId="0" borderId="9" xfId="4" applyNumberFormat="1" applyFont="1" applyBorder="1" applyAlignment="1">
      <alignment horizontal="center" vertical="center"/>
    </xf>
    <xf numFmtId="3" fontId="11" fillId="0" borderId="6" xfId="4" applyNumberFormat="1" applyFont="1" applyBorder="1" applyAlignment="1">
      <alignment horizontal="center" vertical="center"/>
    </xf>
    <xf numFmtId="3" fontId="11" fillId="0" borderId="7" xfId="4" applyNumberFormat="1" applyFont="1" applyBorder="1" applyAlignment="1">
      <alignment horizontal="center" vertical="center"/>
    </xf>
    <xf numFmtId="0" fontId="11" fillId="0" borderId="74" xfId="4" applyFont="1" applyBorder="1" applyAlignment="1">
      <alignment horizontal="center" vertical="center"/>
    </xf>
    <xf numFmtId="0" fontId="11" fillId="0" borderId="75" xfId="4" applyFont="1" applyBorder="1" applyAlignment="1">
      <alignment horizontal="center" vertical="center"/>
    </xf>
    <xf numFmtId="0" fontId="7" fillId="0" borderId="9" xfId="4" applyFont="1" applyBorder="1" applyAlignment="1">
      <alignment horizontal="left" vertical="center" wrapText="1"/>
    </xf>
    <xf numFmtId="0" fontId="7" fillId="0" borderId="6" xfId="4" applyFont="1" applyBorder="1" applyAlignment="1">
      <alignment horizontal="left" vertical="center" wrapText="1"/>
    </xf>
    <xf numFmtId="0" fontId="11" fillId="0" borderId="74" xfId="1" applyFont="1" applyFill="1" applyBorder="1" applyAlignment="1">
      <alignment horizontal="center" vertical="center"/>
    </xf>
    <xf numFmtId="0" fontId="11" fillId="0" borderId="75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65" xfId="1" applyFont="1" applyBorder="1" applyAlignment="1">
      <alignment horizontal="left" vertical="center" wrapText="1"/>
    </xf>
    <xf numFmtId="0" fontId="11" fillId="0" borderId="2" xfId="4" applyFont="1" applyBorder="1" applyAlignment="1">
      <alignment horizontal="center" vertical="center"/>
    </xf>
    <xf numFmtId="0" fontId="11" fillId="0" borderId="65" xfId="4" applyFont="1" applyBorder="1" applyAlignment="1">
      <alignment horizontal="center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65" xfId="4" applyNumberFormat="1" applyFont="1" applyBorder="1" applyAlignment="1">
      <alignment horizontal="center" vertical="center"/>
    </xf>
    <xf numFmtId="0" fontId="11" fillId="0" borderId="76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28" fillId="2" borderId="75" xfId="1" applyFont="1" applyFill="1" applyBorder="1" applyAlignment="1">
      <alignment horizontal="center" vertical="center"/>
    </xf>
    <xf numFmtId="0" fontId="28" fillId="2" borderId="10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28" fillId="0" borderId="9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49" fontId="28" fillId="0" borderId="9" xfId="1" applyNumberFormat="1" applyFont="1" applyBorder="1" applyAlignment="1">
      <alignment horizontal="center" vertical="center"/>
    </xf>
    <xf numFmtId="49" fontId="28" fillId="0" borderId="6" xfId="1" applyNumberFormat="1" applyFont="1" applyBorder="1" applyAlignment="1">
      <alignment horizontal="center" vertical="center"/>
    </xf>
    <xf numFmtId="0" fontId="28" fillId="0" borderId="18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49" fontId="28" fillId="0" borderId="2" xfId="1" applyNumberFormat="1" applyFont="1" applyBorder="1" applyAlignment="1">
      <alignment horizontal="center" vertical="center"/>
    </xf>
    <xf numFmtId="49" fontId="28" fillId="0" borderId="65" xfId="1" applyNumberFormat="1" applyFont="1" applyBorder="1" applyAlignment="1">
      <alignment horizontal="center" vertical="center"/>
    </xf>
    <xf numFmtId="0" fontId="29" fillId="0" borderId="2" xfId="1" applyFont="1" applyBorder="1" applyAlignment="1">
      <alignment horizontal="left" vertical="center" wrapText="1"/>
    </xf>
    <xf numFmtId="0" fontId="29" fillId="0" borderId="65" xfId="1" applyFont="1" applyBorder="1" applyAlignment="1">
      <alignment horizontal="left" vertical="center" wrapText="1"/>
    </xf>
    <xf numFmtId="0" fontId="28" fillId="0" borderId="7" xfId="1" applyFont="1" applyBorder="1" applyAlignment="1">
      <alignment horizontal="center" vertical="center"/>
    </xf>
    <xf numFmtId="49" fontId="28" fillId="0" borderId="7" xfId="1" applyNumberFormat="1" applyFont="1" applyBorder="1" applyAlignment="1">
      <alignment horizontal="center" vertical="center"/>
    </xf>
    <xf numFmtId="0" fontId="28" fillId="0" borderId="74" xfId="1" applyFont="1" applyBorder="1" applyAlignment="1">
      <alignment horizontal="center" vertical="center"/>
    </xf>
    <xf numFmtId="0" fontId="28" fillId="0" borderId="7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8" fillId="2" borderId="9" xfId="1" applyFont="1" applyFill="1" applyBorder="1" applyAlignment="1">
      <alignment horizontal="center" vertical="center" wrapText="1"/>
    </xf>
    <xf numFmtId="0" fontId="28" fillId="2" borderId="6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8" fillId="2" borderId="9" xfId="1" applyFont="1" applyFill="1" applyBorder="1" applyAlignment="1">
      <alignment horizontal="center" vertical="center"/>
    </xf>
    <xf numFmtId="0" fontId="28" fillId="2" borderId="6" xfId="1" applyFont="1" applyFill="1" applyBorder="1" applyAlignment="1">
      <alignment horizontal="center" vertical="center"/>
    </xf>
    <xf numFmtId="49" fontId="28" fillId="2" borderId="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16" fillId="0" borderId="0" xfId="1" applyFont="1" applyAlignment="1">
      <alignment horizontal="center" vertical="top"/>
    </xf>
    <xf numFmtId="49" fontId="21" fillId="3" borderId="1" xfId="1" applyNumberFormat="1" applyFont="1" applyFill="1" applyBorder="1" applyAlignment="1">
      <alignment horizontal="center" vertical="center"/>
    </xf>
    <xf numFmtId="49" fontId="21" fillId="3" borderId="3" xfId="1" applyNumberFormat="1" applyFont="1" applyFill="1" applyBorder="1" applyAlignment="1">
      <alignment horizontal="center" vertical="center"/>
    </xf>
    <xf numFmtId="0" fontId="31" fillId="8" borderId="9" xfId="1" applyFont="1" applyFill="1" applyBorder="1" applyAlignment="1">
      <alignment horizontal="center" vertical="center" wrapText="1"/>
    </xf>
    <xf numFmtId="0" fontId="31" fillId="8" borderId="7" xfId="1" applyFont="1" applyFill="1" applyBorder="1" applyAlignment="1">
      <alignment horizontal="center" vertical="center" wrapText="1"/>
    </xf>
    <xf numFmtId="0" fontId="31" fillId="8" borderId="74" xfId="1" applyFont="1" applyFill="1" applyBorder="1" applyAlignment="1">
      <alignment horizontal="center" vertical="center" wrapText="1"/>
    </xf>
    <xf numFmtId="0" fontId="31" fillId="8" borderId="76" xfId="1" applyFont="1" applyFill="1" applyBorder="1" applyAlignment="1">
      <alignment horizontal="center" vertical="center" wrapText="1"/>
    </xf>
    <xf numFmtId="0" fontId="28" fillId="9" borderId="41" xfId="1" applyFont="1" applyFill="1" applyBorder="1" applyAlignment="1">
      <alignment horizontal="center" vertical="center" wrapText="1"/>
    </xf>
    <xf numFmtId="0" fontId="28" fillId="9" borderId="36" xfId="1" applyFont="1" applyFill="1" applyBorder="1" applyAlignment="1">
      <alignment horizontal="center" vertical="center" wrapText="1"/>
    </xf>
    <xf numFmtId="0" fontId="29" fillId="0" borderId="7" xfId="1" applyNumberFormat="1" applyFont="1" applyBorder="1" applyAlignment="1">
      <alignment horizontal="center" vertical="center"/>
    </xf>
    <xf numFmtId="0" fontId="29" fillId="0" borderId="6" xfId="1" applyNumberFormat="1" applyFont="1" applyBorder="1" applyAlignment="1">
      <alignment horizontal="center" vertical="center"/>
    </xf>
    <xf numFmtId="49" fontId="28" fillId="2" borderId="3" xfId="1" applyNumberFormat="1" applyFont="1" applyFill="1" applyBorder="1" applyAlignment="1">
      <alignment horizontal="center" vertical="center"/>
    </xf>
    <xf numFmtId="49" fontId="28" fillId="2" borderId="4" xfId="1" applyNumberFormat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28" fillId="8" borderId="1" xfId="1" applyFont="1" applyFill="1" applyBorder="1" applyAlignment="1">
      <alignment horizontal="center" vertical="center"/>
    </xf>
    <xf numFmtId="0" fontId="28" fillId="8" borderId="9" xfId="1" applyFont="1" applyFill="1" applyBorder="1" applyAlignment="1">
      <alignment horizontal="center" vertical="center"/>
    </xf>
    <xf numFmtId="0" fontId="28" fillId="8" borderId="4" xfId="1" applyFont="1" applyFill="1" applyBorder="1" applyAlignment="1">
      <alignment horizontal="center" vertical="center"/>
    </xf>
    <xf numFmtId="0" fontId="28" fillId="8" borderId="68" xfId="1" applyFont="1" applyFill="1" applyBorder="1" applyAlignment="1">
      <alignment horizontal="center" vertical="center"/>
    </xf>
    <xf numFmtId="0" fontId="28" fillId="8" borderId="3" xfId="1" applyFont="1" applyFill="1" applyBorder="1" applyAlignment="1">
      <alignment horizontal="center" vertical="center"/>
    </xf>
    <xf numFmtId="0" fontId="28" fillId="8" borderId="74" xfId="1" applyFont="1" applyFill="1" applyBorder="1" applyAlignment="1">
      <alignment horizontal="center" vertical="center"/>
    </xf>
    <xf numFmtId="0" fontId="28" fillId="8" borderId="1" xfId="1" applyFont="1" applyFill="1" applyBorder="1" applyAlignment="1">
      <alignment horizontal="center" vertical="center" wrapText="1"/>
    </xf>
    <xf numFmtId="0" fontId="28" fillId="8" borderId="9" xfId="1" applyFont="1" applyFill="1" applyBorder="1" applyAlignment="1">
      <alignment horizontal="center" vertical="center" wrapText="1"/>
    </xf>
    <xf numFmtId="0" fontId="28" fillId="8" borderId="4" xfId="1" applyFont="1" applyFill="1" applyBorder="1" applyAlignment="1">
      <alignment horizontal="center" vertical="center" wrapText="1"/>
    </xf>
    <xf numFmtId="0" fontId="28" fillId="8" borderId="68" xfId="1" applyFont="1" applyFill="1" applyBorder="1" applyAlignment="1">
      <alignment horizontal="center" vertical="center" wrapText="1"/>
    </xf>
    <xf numFmtId="0" fontId="31" fillId="8" borderId="3" xfId="1" applyFont="1" applyFill="1" applyBorder="1" applyAlignment="1">
      <alignment horizontal="center" vertical="center" wrapText="1"/>
    </xf>
    <xf numFmtId="0" fontId="31" fillId="8" borderId="5" xfId="1" applyFont="1" applyFill="1" applyBorder="1" applyAlignment="1">
      <alignment horizontal="center" vertical="center" wrapText="1"/>
    </xf>
    <xf numFmtId="0" fontId="28" fillId="3" borderId="13" xfId="1" applyFont="1" applyFill="1" applyBorder="1" applyAlignment="1">
      <alignment horizontal="center" vertical="center" wrapText="1"/>
    </xf>
    <xf numFmtId="0" fontId="28" fillId="3" borderId="719" xfId="1" applyFont="1" applyFill="1" applyBorder="1" applyAlignment="1">
      <alignment horizontal="center" vertical="center" wrapText="1"/>
    </xf>
    <xf numFmtId="0" fontId="28" fillId="3" borderId="785" xfId="1" applyFont="1" applyFill="1" applyBorder="1" applyAlignment="1">
      <alignment horizontal="center" vertical="center" wrapText="1"/>
    </xf>
    <xf numFmtId="0" fontId="28" fillId="3" borderId="786" xfId="1" applyFont="1" applyFill="1" applyBorder="1" applyAlignment="1">
      <alignment horizontal="center" vertical="center" wrapText="1"/>
    </xf>
    <xf numFmtId="0" fontId="28" fillId="3" borderId="787" xfId="1" applyFont="1" applyFill="1" applyBorder="1" applyAlignment="1">
      <alignment horizontal="center" vertical="center" wrapText="1"/>
    </xf>
    <xf numFmtId="0" fontId="28" fillId="3" borderId="788" xfId="1" applyFont="1" applyFill="1" applyBorder="1" applyAlignment="1">
      <alignment horizontal="center" vertical="center" wrapText="1"/>
    </xf>
    <xf numFmtId="49" fontId="28" fillId="8" borderId="1" xfId="1" applyNumberFormat="1" applyFont="1" applyFill="1" applyBorder="1" applyAlignment="1">
      <alignment horizontal="center" vertical="center"/>
    </xf>
    <xf numFmtId="49" fontId="28" fillId="8" borderId="3" xfId="1" applyNumberFormat="1" applyFont="1" applyFill="1" applyBorder="1" applyAlignment="1">
      <alignment horizontal="center" vertical="center"/>
    </xf>
    <xf numFmtId="0" fontId="28" fillId="8" borderId="7" xfId="1" applyFont="1" applyFill="1" applyBorder="1" applyAlignment="1">
      <alignment horizontal="center" vertical="center"/>
    </xf>
    <xf numFmtId="0" fontId="28" fillId="8" borderId="6" xfId="1" applyFont="1" applyFill="1" applyBorder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21" fillId="0" borderId="563" xfId="1" applyFont="1" applyFill="1" applyBorder="1" applyAlignment="1">
      <alignment horizontal="center" vertical="center" wrapText="1"/>
    </xf>
    <xf numFmtId="0" fontId="21" fillId="0" borderId="717" xfId="1" applyFont="1" applyFill="1" applyBorder="1" applyAlignment="1">
      <alignment horizontal="center" vertical="center" wrapText="1"/>
    </xf>
    <xf numFmtId="0" fontId="21" fillId="0" borderId="726" xfId="1" applyFont="1" applyFill="1" applyBorder="1" applyAlignment="1">
      <alignment horizontal="center" vertical="center" wrapText="1"/>
    </xf>
    <xf numFmtId="0" fontId="28" fillId="8" borderId="34" xfId="1" applyFont="1" applyFill="1" applyBorder="1" applyAlignment="1">
      <alignment horizontal="center" vertical="center"/>
    </xf>
    <xf numFmtId="0" fontId="28" fillId="8" borderId="35" xfId="1" applyFont="1" applyFill="1" applyBorder="1" applyAlignment="1">
      <alignment horizontal="center" vertical="center"/>
    </xf>
    <xf numFmtId="0" fontId="28" fillId="8" borderId="42" xfId="1" applyFont="1" applyFill="1" applyBorder="1" applyAlignment="1">
      <alignment horizontal="center" vertical="center"/>
    </xf>
    <xf numFmtId="0" fontId="28" fillId="0" borderId="74" xfId="1" applyFont="1" applyFill="1" applyBorder="1" applyAlignment="1">
      <alignment horizontal="center" vertical="center" wrapText="1"/>
    </xf>
    <xf numFmtId="0" fontId="28" fillId="0" borderId="76" xfId="1" applyFont="1" applyFill="1" applyBorder="1" applyAlignment="1">
      <alignment horizontal="center" vertical="center" wrapText="1"/>
    </xf>
    <xf numFmtId="0" fontId="28" fillId="0" borderId="75" xfId="1" applyFont="1" applyFill="1" applyBorder="1" applyAlignment="1">
      <alignment horizontal="center" vertical="center" wrapText="1"/>
    </xf>
    <xf numFmtId="0" fontId="28" fillId="3" borderId="69" xfId="1" applyFont="1" applyFill="1" applyBorder="1" applyAlignment="1">
      <alignment horizontal="center" vertical="center" wrapText="1"/>
    </xf>
    <xf numFmtId="0" fontId="28" fillId="3" borderId="68" xfId="1" applyFont="1" applyFill="1" applyBorder="1" applyAlignment="1">
      <alignment horizontal="center" vertical="center" wrapText="1"/>
    </xf>
    <xf numFmtId="3" fontId="28" fillId="3" borderId="18" xfId="1" applyNumberFormat="1" applyFont="1" applyFill="1" applyBorder="1" applyAlignment="1">
      <alignment horizontal="right" vertical="center"/>
    </xf>
    <xf numFmtId="3" fontId="28" fillId="3" borderId="70" xfId="1" applyNumberFormat="1" applyFont="1" applyFill="1" applyBorder="1" applyAlignment="1">
      <alignment horizontal="right" vertical="center"/>
    </xf>
    <xf numFmtId="0" fontId="29" fillId="0" borderId="727" xfId="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horizontal="center" vertical="center" wrapText="1"/>
    </xf>
    <xf numFmtId="0" fontId="29" fillId="0" borderId="712" xfId="1" applyFont="1" applyFill="1" applyBorder="1" applyAlignment="1">
      <alignment horizontal="center" vertical="center" wrapText="1"/>
    </xf>
    <xf numFmtId="0" fontId="29" fillId="0" borderId="705" xfId="1" applyFont="1" applyFill="1" applyBorder="1" applyAlignment="1">
      <alignment horizontal="center" vertical="center" wrapText="1"/>
    </xf>
    <xf numFmtId="3" fontId="29" fillId="0" borderId="706" xfId="1" applyNumberFormat="1" applyFont="1" applyBorder="1" applyAlignment="1">
      <alignment horizontal="right" vertical="center"/>
    </xf>
    <xf numFmtId="3" fontId="29" fillId="0" borderId="718" xfId="1" applyNumberFormat="1" applyFont="1" applyBorder="1" applyAlignment="1">
      <alignment horizontal="right" vertical="center"/>
    </xf>
    <xf numFmtId="0" fontId="28" fillId="3" borderId="724" xfId="1" applyFont="1" applyFill="1" applyBorder="1" applyAlignment="1">
      <alignment horizontal="center" vertical="center"/>
    </xf>
    <xf numFmtId="0" fontId="28" fillId="3" borderId="675" xfId="1" applyFont="1" applyFill="1" applyBorder="1" applyAlignment="1">
      <alignment horizontal="center" vertical="center"/>
    </xf>
    <xf numFmtId="3" fontId="29" fillId="3" borderId="29" xfId="1" applyNumberFormat="1" applyFont="1" applyFill="1" applyBorder="1" applyAlignment="1">
      <alignment horizontal="right" vertical="center"/>
    </xf>
    <xf numFmtId="3" fontId="29" fillId="3" borderId="728" xfId="1" applyNumberFormat="1" applyFont="1" applyFill="1" applyBorder="1" applyAlignment="1">
      <alignment horizontal="right" vertical="center"/>
    </xf>
    <xf numFmtId="49" fontId="28" fillId="0" borderId="419" xfId="1" applyNumberFormat="1" applyFont="1" applyBorder="1" applyAlignment="1">
      <alignment horizontal="center" vertical="center" wrapText="1"/>
    </xf>
    <xf numFmtId="49" fontId="28" fillId="0" borderId="706" xfId="1" applyNumberFormat="1" applyFont="1" applyBorder="1" applyAlignment="1">
      <alignment horizontal="center" vertical="center" wrapText="1"/>
    </xf>
    <xf numFmtId="49" fontId="28" fillId="0" borderId="29" xfId="1" applyNumberFormat="1" applyFont="1" applyBorder="1" applyAlignment="1">
      <alignment horizontal="center" vertical="center" wrapText="1"/>
    </xf>
    <xf numFmtId="0" fontId="28" fillId="3" borderId="281" xfId="1" applyFont="1" applyFill="1" applyBorder="1" applyAlignment="1">
      <alignment horizontal="center" vertical="center"/>
    </xf>
    <xf numFmtId="0" fontId="28" fillId="3" borderId="57" xfId="1" applyFont="1" applyFill="1" applyBorder="1" applyAlignment="1">
      <alignment horizontal="center" vertical="center"/>
    </xf>
    <xf numFmtId="0" fontId="28" fillId="3" borderId="15" xfId="1" applyFont="1" applyFill="1" applyBorder="1" applyAlignment="1">
      <alignment horizontal="center" vertical="center"/>
    </xf>
    <xf numFmtId="3" fontId="28" fillId="3" borderId="419" xfId="1" applyNumberFormat="1" applyFont="1" applyFill="1" applyBorder="1" applyAlignment="1">
      <alignment horizontal="right" vertical="center"/>
    </xf>
    <xf numFmtId="3" fontId="28" fillId="3" borderId="16" xfId="1" applyNumberFormat="1" applyFont="1" applyFill="1" applyBorder="1" applyAlignment="1">
      <alignment horizontal="right" vertical="center"/>
    </xf>
    <xf numFmtId="49" fontId="29" fillId="0" borderId="729" xfId="1" applyNumberFormat="1" applyFont="1" applyBorder="1" applyAlignment="1">
      <alignment horizontal="center" vertical="center" wrapText="1"/>
    </xf>
    <xf numFmtId="49" fontId="29" fillId="0" borderId="28" xfId="1" applyNumberFormat="1" applyFont="1" applyBorder="1" applyAlignment="1">
      <alignment horizontal="center" vertical="center" wrapText="1"/>
    </xf>
    <xf numFmtId="2" fontId="29" fillId="0" borderId="712" xfId="1" applyNumberFormat="1" applyFont="1" applyBorder="1" applyAlignment="1">
      <alignment horizontal="center" vertical="center"/>
    </xf>
    <xf numFmtId="2" fontId="29" fillId="0" borderId="705" xfId="1" applyNumberFormat="1" applyFont="1" applyBorder="1" applyAlignment="1">
      <alignment horizontal="center" vertical="center"/>
    </xf>
    <xf numFmtId="0" fontId="38" fillId="3" borderId="712" xfId="1" applyFont="1" applyFill="1" applyBorder="1" applyAlignment="1">
      <alignment horizontal="center" vertical="center"/>
    </xf>
    <xf numFmtId="0" fontId="38" fillId="3" borderId="705" xfId="1" applyFont="1" applyFill="1" applyBorder="1" applyAlignment="1">
      <alignment horizontal="center" vertical="center"/>
    </xf>
    <xf numFmtId="3" fontId="39" fillId="3" borderId="706" xfId="1" applyNumberFormat="1" applyFont="1" applyFill="1" applyBorder="1" applyAlignment="1">
      <alignment horizontal="right" vertical="center" wrapText="1"/>
    </xf>
    <xf numFmtId="3" fontId="39" fillId="3" borderId="718" xfId="1" applyNumberFormat="1" applyFont="1" applyFill="1" applyBorder="1" applyAlignment="1">
      <alignment horizontal="right" vertical="center" wrapText="1"/>
    </xf>
    <xf numFmtId="0" fontId="38" fillId="3" borderId="724" xfId="1" applyFont="1" applyFill="1" applyBorder="1" applyAlignment="1">
      <alignment horizontal="center" vertical="center"/>
    </xf>
    <xf numFmtId="0" fontId="38" fillId="3" borderId="675" xfId="1" applyFont="1" applyFill="1" applyBorder="1" applyAlignment="1">
      <alignment horizontal="center" vertical="center"/>
    </xf>
    <xf numFmtId="49" fontId="21" fillId="8" borderId="41" xfId="1" applyNumberFormat="1" applyFont="1" applyFill="1" applyBorder="1" applyAlignment="1">
      <alignment horizontal="center" vertical="center"/>
    </xf>
    <xf numFmtId="49" fontId="21" fillId="8" borderId="35" xfId="1" applyNumberFormat="1" applyFont="1" applyFill="1" applyBorder="1" applyAlignment="1">
      <alignment horizontal="center" vertical="center"/>
    </xf>
    <xf numFmtId="49" fontId="21" fillId="8" borderId="36" xfId="1" applyNumberFormat="1" applyFont="1" applyFill="1" applyBorder="1" applyAlignment="1">
      <alignment horizontal="center" vertical="center"/>
    </xf>
    <xf numFmtId="3" fontId="21" fillId="8" borderId="3" xfId="1" applyNumberFormat="1" applyFont="1" applyFill="1" applyBorder="1" applyAlignment="1">
      <alignment horizontal="right" vertical="center"/>
    </xf>
    <xf numFmtId="3" fontId="21" fillId="8" borderId="4" xfId="1" applyNumberFormat="1" applyFont="1" applyFill="1" applyBorder="1" applyAlignment="1">
      <alignment horizontal="right" vertical="center"/>
    </xf>
    <xf numFmtId="0" fontId="21" fillId="0" borderId="563" xfId="1" applyFont="1" applyBorder="1" applyAlignment="1">
      <alignment horizontal="center" vertical="center" wrapText="1"/>
    </xf>
    <xf numFmtId="0" fontId="21" fillId="0" borderId="717" xfId="1" applyFont="1" applyBorder="1" applyAlignment="1">
      <alignment horizontal="center" vertical="center" wrapText="1"/>
    </xf>
    <xf numFmtId="0" fontId="21" fillId="0" borderId="726" xfId="1" applyFont="1" applyBorder="1" applyAlignment="1">
      <alignment horizontal="center" vertical="center" wrapText="1"/>
    </xf>
    <xf numFmtId="0" fontId="28" fillId="8" borderId="2" xfId="1" applyFont="1" applyFill="1" applyBorder="1" applyAlignment="1">
      <alignment horizontal="center" vertical="center"/>
    </xf>
    <xf numFmtId="0" fontId="28" fillId="8" borderId="65" xfId="1" applyFont="1" applyFill="1" applyBorder="1" applyAlignment="1">
      <alignment horizontal="center" vertical="center"/>
    </xf>
    <xf numFmtId="0" fontId="28" fillId="8" borderId="70" xfId="1" applyFont="1" applyFill="1" applyBorder="1" applyAlignment="1">
      <alignment horizontal="center" vertical="center"/>
    </xf>
    <xf numFmtId="0" fontId="28" fillId="8" borderId="728" xfId="1" applyFont="1" applyFill="1" applyBorder="1" applyAlignment="1">
      <alignment horizontal="center" vertical="center"/>
    </xf>
    <xf numFmtId="0" fontId="28" fillId="8" borderId="75" xfId="1" applyFont="1" applyFill="1" applyBorder="1" applyAlignment="1">
      <alignment horizontal="center" vertical="center"/>
    </xf>
    <xf numFmtId="0" fontId="28" fillId="8" borderId="18" xfId="1" applyFont="1" applyFill="1" applyBorder="1" applyAlignment="1">
      <alignment horizontal="center" vertical="center" wrapText="1"/>
    </xf>
    <xf numFmtId="0" fontId="28" fillId="8" borderId="29" xfId="1" applyFont="1" applyFill="1" applyBorder="1" applyAlignment="1">
      <alignment horizontal="center" vertical="center"/>
    </xf>
    <xf numFmtId="0" fontId="28" fillId="8" borderId="2" xfId="1" applyFont="1" applyFill="1" applyBorder="1" applyAlignment="1">
      <alignment horizontal="center" vertical="center" wrapText="1"/>
    </xf>
    <xf numFmtId="0" fontId="28" fillId="8" borderId="45" xfId="1" applyFont="1" applyFill="1" applyBorder="1" applyAlignment="1">
      <alignment horizontal="center" vertical="center"/>
    </xf>
    <xf numFmtId="0" fontId="28" fillId="8" borderId="49" xfId="1" applyFont="1" applyFill="1" applyBorder="1" applyAlignment="1">
      <alignment horizontal="center" vertical="center"/>
    </xf>
    <xf numFmtId="0" fontId="28" fillId="8" borderId="46" xfId="1" applyFont="1" applyFill="1" applyBorder="1" applyAlignment="1">
      <alignment horizontal="center" vertical="center"/>
    </xf>
    <xf numFmtId="49" fontId="28" fillId="8" borderId="5" xfId="1" applyNumberFormat="1" applyFont="1" applyFill="1" applyBorder="1" applyAlignment="1">
      <alignment horizontal="center" vertical="center"/>
    </xf>
    <xf numFmtId="0" fontId="28" fillId="8" borderId="70" xfId="1" applyFont="1" applyFill="1" applyBorder="1" applyAlignment="1">
      <alignment horizontal="center" vertical="center" wrapText="1"/>
    </xf>
    <xf numFmtId="0" fontId="28" fillId="8" borderId="728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/>
    </xf>
    <xf numFmtId="0" fontId="28" fillId="0" borderId="65" xfId="1" applyFont="1" applyFill="1" applyBorder="1" applyAlignment="1">
      <alignment horizontal="center" vertical="center"/>
    </xf>
    <xf numFmtId="0" fontId="28" fillId="3" borderId="45" xfId="1" applyFont="1" applyFill="1" applyBorder="1" applyAlignment="1">
      <alignment horizontal="center" vertical="center"/>
    </xf>
    <xf numFmtId="0" fontId="28" fillId="3" borderId="49" xfId="1" applyFont="1" applyFill="1" applyBorder="1" applyAlignment="1">
      <alignment horizontal="center" vertical="center"/>
    </xf>
    <xf numFmtId="0" fontId="28" fillId="3" borderId="44" xfId="1" applyFont="1" applyFill="1" applyBorder="1" applyAlignment="1">
      <alignment horizontal="center" vertical="center"/>
    </xf>
    <xf numFmtId="0" fontId="29" fillId="0" borderId="724" xfId="1" applyFont="1" applyFill="1" applyBorder="1" applyAlignment="1">
      <alignment horizontal="center" vertical="center" wrapText="1"/>
    </xf>
    <xf numFmtId="0" fontId="28" fillId="0" borderId="724" xfId="1" applyFont="1" applyFill="1" applyBorder="1" applyAlignment="1">
      <alignment horizontal="center" vertical="center" wrapText="1"/>
    </xf>
    <xf numFmtId="0" fontId="28" fillId="3" borderId="33" xfId="1" applyFont="1" applyFill="1" applyBorder="1" applyAlignment="1">
      <alignment horizontal="center" vertical="center" wrapText="1"/>
    </xf>
    <xf numFmtId="0" fontId="28" fillId="3" borderId="57" xfId="1" applyFont="1" applyFill="1" applyBorder="1" applyAlignment="1">
      <alignment horizontal="center" vertical="center" wrapText="1"/>
    </xf>
    <xf numFmtId="0" fontId="28" fillId="3" borderId="37" xfId="1" applyFont="1" applyFill="1" applyBorder="1" applyAlignment="1">
      <alignment horizontal="center" vertical="center" wrapText="1"/>
    </xf>
    <xf numFmtId="49" fontId="29" fillId="0" borderId="708" xfId="1" applyNumberFormat="1" applyFont="1" applyBorder="1" applyAlignment="1">
      <alignment horizontal="center" vertical="center"/>
    </xf>
    <xf numFmtId="49" fontId="29" fillId="0" borderId="714" xfId="1" applyNumberFormat="1" applyFont="1" applyBorder="1" applyAlignment="1">
      <alignment horizontal="center" vertical="center"/>
    </xf>
    <xf numFmtId="0" fontId="29" fillId="0" borderId="12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40" fillId="0" borderId="0" xfId="1" applyFont="1" applyAlignment="1">
      <alignment horizontal="left" vertical="center" wrapText="1"/>
    </xf>
    <xf numFmtId="0" fontId="11" fillId="3" borderId="48" xfId="1" applyFont="1" applyFill="1" applyBorder="1" applyAlignment="1">
      <alignment horizontal="center" vertical="center"/>
    </xf>
    <xf numFmtId="0" fontId="11" fillId="3" borderId="729" xfId="1" applyFont="1" applyFill="1" applyBorder="1" applyAlignment="1">
      <alignment horizontal="center" vertical="center"/>
    </xf>
    <xf numFmtId="0" fontId="11" fillId="3" borderId="49" xfId="1" applyFont="1" applyFill="1" applyBorder="1" applyAlignment="1">
      <alignment horizontal="center" vertical="center"/>
    </xf>
    <xf numFmtId="0" fontId="11" fillId="3" borderId="712" xfId="1" applyFont="1" applyFill="1" applyBorder="1" applyAlignment="1">
      <alignment horizontal="center" vertical="center"/>
    </xf>
    <xf numFmtId="0" fontId="11" fillId="3" borderId="49" xfId="1" applyFont="1" applyFill="1" applyBorder="1" applyAlignment="1">
      <alignment horizontal="center" vertical="center" wrapText="1"/>
    </xf>
    <xf numFmtId="0" fontId="11" fillId="3" borderId="712" xfId="1" applyFont="1" applyFill="1" applyBorder="1" applyAlignment="1">
      <alignment horizontal="center" vertical="center" wrapText="1"/>
    </xf>
    <xf numFmtId="0" fontId="11" fillId="3" borderId="46" xfId="1" applyFont="1" applyFill="1" applyBorder="1" applyAlignment="1">
      <alignment horizontal="center" vertical="center" wrapText="1"/>
    </xf>
    <xf numFmtId="0" fontId="11" fillId="3" borderId="705" xfId="1" applyFont="1" applyFill="1" applyBorder="1" applyAlignment="1">
      <alignment horizontal="center" vertical="center" wrapText="1"/>
    </xf>
    <xf numFmtId="0" fontId="7" fillId="0" borderId="72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81" xfId="1" applyFont="1" applyBorder="1" applyAlignment="1">
      <alignment horizontal="center" vertical="center"/>
    </xf>
    <xf numFmtId="0" fontId="7" fillId="0" borderId="715" xfId="1" applyFont="1" applyBorder="1" applyAlignment="1">
      <alignment horizontal="center" vertical="center"/>
    </xf>
    <xf numFmtId="0" fontId="7" fillId="0" borderId="720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3" fontId="7" fillId="0" borderId="709" xfId="1" applyNumberFormat="1" applyFont="1" applyBorder="1" applyAlignment="1">
      <alignment horizontal="left" vertical="center" wrapText="1"/>
    </xf>
    <xf numFmtId="3" fontId="7" fillId="0" borderId="87" xfId="1" applyNumberFormat="1" applyFont="1" applyBorder="1" applyAlignment="1">
      <alignment horizontal="left" vertical="center" wrapText="1"/>
    </xf>
    <xf numFmtId="3" fontId="7" fillId="0" borderId="15" xfId="1" applyNumberFormat="1" applyFont="1" applyBorder="1" applyAlignment="1">
      <alignment horizontal="left" vertical="center" wrapText="1"/>
    </xf>
    <xf numFmtId="49" fontId="11" fillId="3" borderId="28" xfId="1" applyNumberFormat="1" applyFont="1" applyFill="1" applyBorder="1" applyAlignment="1">
      <alignment horizontal="center" vertical="center"/>
    </xf>
    <xf numFmtId="49" fontId="11" fillId="3" borderId="724" xfId="1" applyNumberFormat="1" applyFont="1" applyFill="1" applyBorder="1" applyAlignment="1">
      <alignment horizontal="center" vertical="center"/>
    </xf>
    <xf numFmtId="0" fontId="11" fillId="3" borderId="563" xfId="1" applyFont="1" applyFill="1" applyBorder="1" applyAlignment="1">
      <alignment horizontal="center" vertical="center"/>
    </xf>
    <xf numFmtId="0" fontId="11" fillId="3" borderId="281" xfId="1" applyFont="1" applyFill="1" applyBorder="1" applyAlignment="1">
      <alignment horizontal="center" vertical="center"/>
    </xf>
    <xf numFmtId="0" fontId="11" fillId="3" borderId="717" xfId="1" applyFont="1" applyFill="1" applyBorder="1" applyAlignment="1">
      <alignment horizontal="center" vertical="center"/>
    </xf>
    <xf numFmtId="0" fontId="11" fillId="3" borderId="57" xfId="1" applyFont="1" applyFill="1" applyBorder="1" applyAlignment="1">
      <alignment horizontal="center" vertical="center"/>
    </xf>
    <xf numFmtId="0" fontId="11" fillId="3" borderId="726" xfId="1" applyFont="1" applyFill="1" applyBorder="1" applyAlignment="1">
      <alignment horizontal="center" vertical="center" wrapText="1"/>
    </xf>
    <xf numFmtId="0" fontId="11" fillId="3" borderId="15" xfId="1" applyFont="1" applyFill="1" applyBorder="1" applyAlignment="1">
      <alignment horizontal="center" vertical="center" wrapText="1"/>
    </xf>
    <xf numFmtId="49" fontId="11" fillId="0" borderId="0" xfId="1" applyNumberFormat="1" applyFont="1" applyAlignment="1">
      <alignment horizontal="center" vertical="center"/>
    </xf>
    <xf numFmtId="0" fontId="7" fillId="0" borderId="709" xfId="1" applyFont="1" applyFill="1" applyBorder="1" applyAlignment="1">
      <alignment horizontal="left" vertical="center" wrapText="1"/>
    </xf>
    <xf numFmtId="0" fontId="7" fillId="0" borderId="87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281" xfId="1" applyFont="1" applyFill="1" applyBorder="1" applyAlignment="1">
      <alignment horizontal="center" vertical="center"/>
    </xf>
    <xf numFmtId="0" fontId="7" fillId="0" borderId="720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727" xfId="1" applyFont="1" applyFill="1" applyBorder="1" applyAlignment="1">
      <alignment horizontal="center" vertical="center"/>
    </xf>
    <xf numFmtId="0" fontId="7" fillId="0" borderId="715" xfId="1" applyFont="1" applyFill="1" applyBorder="1" applyAlignment="1">
      <alignment horizontal="center" vertical="center"/>
    </xf>
    <xf numFmtId="49" fontId="11" fillId="3" borderId="29" xfId="1" applyNumberFormat="1" applyFont="1" applyFill="1" applyBorder="1" applyAlignment="1">
      <alignment horizontal="center" vertical="center"/>
    </xf>
    <xf numFmtId="49" fontId="11" fillId="3" borderId="710" xfId="1" applyNumberFormat="1" applyFont="1" applyFill="1" applyBorder="1" applyAlignment="1">
      <alignment horizontal="center" vertical="center"/>
    </xf>
    <xf numFmtId="49" fontId="11" fillId="3" borderId="711" xfId="1" applyNumberFormat="1" applyFont="1" applyFill="1" applyBorder="1" applyAlignment="1">
      <alignment horizontal="center" vertical="center"/>
    </xf>
    <xf numFmtId="3" fontId="7" fillId="0" borderId="709" xfId="1" applyNumberFormat="1" applyFont="1" applyFill="1" applyBorder="1" applyAlignment="1">
      <alignment horizontal="left" vertical="center" wrapText="1"/>
    </xf>
    <xf numFmtId="3" fontId="7" fillId="0" borderId="87" xfId="1" applyNumberFormat="1" applyFont="1" applyFill="1" applyBorder="1" applyAlignment="1">
      <alignment horizontal="left" vertical="center" wrapText="1"/>
    </xf>
    <xf numFmtId="3" fontId="7" fillId="0" borderId="15" xfId="1" applyNumberFormat="1" applyFont="1" applyFill="1" applyBorder="1" applyAlignment="1">
      <alignment horizontal="left" vertical="center" wrapText="1"/>
    </xf>
    <xf numFmtId="49" fontId="11" fillId="0" borderId="26" xfId="1" applyNumberFormat="1" applyFont="1" applyBorder="1" applyAlignment="1">
      <alignment horizontal="center" vertical="top"/>
    </xf>
    <xf numFmtId="0" fontId="11" fillId="5" borderId="27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1" xfId="1" applyFont="1" applyFill="1" applyBorder="1" applyAlignment="1">
      <alignment horizontal="center" vertical="center"/>
    </xf>
    <xf numFmtId="49" fontId="7" fillId="0" borderId="24" xfId="1" applyNumberFormat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wrapText="1"/>
    </xf>
    <xf numFmtId="49" fontId="11" fillId="0" borderId="58" xfId="1" applyNumberFormat="1" applyFont="1" applyBorder="1" applyAlignment="1">
      <alignment horizontal="center" vertical="top"/>
    </xf>
    <xf numFmtId="0" fontId="17" fillId="0" borderId="0" xfId="1" applyFont="1" applyAlignment="1">
      <alignment horizontal="right" vertical="top" wrapText="1"/>
    </xf>
    <xf numFmtId="0" fontId="1" fillId="0" borderId="0" xfId="13" applyAlignment="1">
      <alignment horizontal="right" vertical="top"/>
    </xf>
    <xf numFmtId="0" fontId="11" fillId="0" borderId="38" xfId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right" vertical="center" wrapText="1"/>
    </xf>
    <xf numFmtId="49" fontId="11" fillId="0" borderId="43" xfId="1" applyNumberFormat="1" applyFont="1" applyBorder="1" applyAlignment="1">
      <alignment horizontal="center" vertical="top"/>
    </xf>
    <xf numFmtId="49" fontId="11" fillId="0" borderId="14" xfId="1" applyNumberFormat="1" applyFont="1" applyBorder="1" applyAlignment="1">
      <alignment horizontal="center" vertical="top"/>
    </xf>
    <xf numFmtId="49" fontId="11" fillId="0" borderId="11" xfId="1" applyNumberFormat="1" applyFont="1" applyBorder="1" applyAlignment="1">
      <alignment horizontal="center" vertical="top"/>
    </xf>
    <xf numFmtId="0" fontId="11" fillId="5" borderId="44" xfId="1" applyFont="1" applyFill="1" applyBorder="1" applyAlignment="1">
      <alignment horizontal="center" vertical="center"/>
    </xf>
    <xf numFmtId="0" fontId="11" fillId="5" borderId="17" xfId="1" applyFont="1" applyFill="1" applyBorder="1" applyAlignment="1">
      <alignment horizontal="center" vertical="center"/>
    </xf>
    <xf numFmtId="0" fontId="11" fillId="5" borderId="45" xfId="1" applyFont="1" applyFill="1" applyBorder="1" applyAlignment="1">
      <alignment horizontal="center" vertical="center"/>
    </xf>
    <xf numFmtId="49" fontId="11" fillId="0" borderId="19" xfId="1" applyNumberFormat="1" applyFont="1" applyBorder="1" applyAlignment="1">
      <alignment horizontal="center" vertical="top"/>
    </xf>
    <xf numFmtId="49" fontId="11" fillId="3" borderId="3" xfId="1" applyNumberFormat="1" applyFont="1" applyFill="1" applyBorder="1" applyAlignment="1">
      <alignment horizontal="center" vertical="center"/>
    </xf>
    <xf numFmtId="49" fontId="11" fillId="3" borderId="5" xfId="1" applyNumberFormat="1" applyFont="1" applyFill="1" applyBorder="1" applyAlignment="1">
      <alignment horizontal="center" vertical="center"/>
    </xf>
    <xf numFmtId="49" fontId="11" fillId="3" borderId="34" xfId="1" applyNumberFormat="1" applyFont="1" applyFill="1" applyBorder="1" applyAlignment="1">
      <alignment horizontal="center" vertical="center"/>
    </xf>
    <xf numFmtId="0" fontId="11" fillId="5" borderId="27" xfId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/>
    </xf>
    <xf numFmtId="49" fontId="11" fillId="0" borderId="28" xfId="1" applyNumberFormat="1" applyFont="1" applyBorder="1" applyAlignment="1">
      <alignment horizontal="center" vertical="top"/>
    </xf>
    <xf numFmtId="49" fontId="7" fillId="0" borderId="22" xfId="1" applyNumberFormat="1" applyFont="1" applyBorder="1" applyAlignment="1">
      <alignment horizontal="center" vertical="center"/>
    </xf>
    <xf numFmtId="0" fontId="11" fillId="6" borderId="60" xfId="1" applyFont="1" applyFill="1" applyBorder="1" applyAlignment="1">
      <alignment horizontal="center" vertical="center"/>
    </xf>
    <xf numFmtId="49" fontId="11" fillId="0" borderId="64" xfId="1" applyNumberFormat="1" applyFont="1" applyBorder="1" applyAlignment="1">
      <alignment horizontal="center" vertical="top"/>
    </xf>
    <xf numFmtId="49" fontId="11" fillId="0" borderId="63" xfId="1" applyNumberFormat="1" applyFont="1" applyBorder="1" applyAlignment="1">
      <alignment horizontal="center" vertical="top"/>
    </xf>
    <xf numFmtId="49" fontId="11" fillId="0" borderId="61" xfId="1" applyNumberFormat="1" applyFont="1" applyFill="1" applyBorder="1" applyAlignment="1">
      <alignment horizontal="center" vertical="center"/>
    </xf>
    <xf numFmtId="49" fontId="11" fillId="0" borderId="56" xfId="1" applyNumberFormat="1" applyFont="1" applyFill="1" applyBorder="1" applyAlignment="1">
      <alignment horizontal="center" vertical="center"/>
    </xf>
    <xf numFmtId="49" fontId="11" fillId="0" borderId="57" xfId="1" applyNumberFormat="1" applyFont="1" applyFill="1" applyBorder="1" applyAlignment="1">
      <alignment horizontal="center" vertical="center"/>
    </xf>
    <xf numFmtId="0" fontId="11" fillId="0" borderId="61" xfId="1" applyFont="1" applyFill="1" applyBorder="1" applyAlignment="1">
      <alignment horizontal="center" vertical="center" wrapText="1"/>
    </xf>
    <xf numFmtId="0" fontId="11" fillId="0" borderId="56" xfId="1" applyFont="1" applyFill="1" applyBorder="1" applyAlignment="1">
      <alignment horizontal="center" vertical="center" wrapText="1"/>
    </xf>
    <xf numFmtId="0" fontId="11" fillId="0" borderId="57" xfId="1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11" fillId="3" borderId="26" xfId="1" applyFont="1" applyFill="1" applyBorder="1" applyAlignment="1">
      <alignment horizontal="center" vertical="center"/>
    </xf>
    <xf numFmtId="0" fontId="11" fillId="3" borderId="28" xfId="1" applyFont="1" applyFill="1" applyBorder="1" applyAlignment="1">
      <alignment horizontal="center" vertical="center"/>
    </xf>
    <xf numFmtId="0" fontId="11" fillId="3" borderId="24" xfId="1" applyFont="1" applyFill="1" applyBorder="1" applyAlignment="1">
      <alignment horizontal="center" vertical="center"/>
    </xf>
    <xf numFmtId="0" fontId="11" fillId="3" borderId="22" xfId="1" applyFont="1" applyFill="1" applyBorder="1" applyAlignment="1">
      <alignment horizontal="center" vertical="center"/>
    </xf>
    <xf numFmtId="0" fontId="11" fillId="3" borderId="50" xfId="1" applyFont="1" applyFill="1" applyBorder="1" applyAlignment="1">
      <alignment horizontal="center" vertical="center"/>
    </xf>
    <xf numFmtId="0" fontId="11" fillId="3" borderId="39" xfId="1" applyFont="1" applyFill="1" applyBorder="1" applyAlignment="1">
      <alignment horizontal="center" vertical="center"/>
    </xf>
    <xf numFmtId="0" fontId="11" fillId="3" borderId="52" xfId="1" applyFont="1" applyFill="1" applyBorder="1" applyAlignment="1">
      <alignment horizontal="center" vertical="center"/>
    </xf>
    <xf numFmtId="0" fontId="11" fillId="3" borderId="24" xfId="1" applyFont="1" applyFill="1" applyBorder="1" applyAlignment="1">
      <alignment horizontal="center" vertical="center" wrapText="1"/>
    </xf>
    <xf numFmtId="0" fontId="11" fillId="3" borderId="22" xfId="1" applyFont="1" applyFill="1" applyBorder="1" applyAlignment="1">
      <alignment horizontal="center" vertical="center" wrapText="1"/>
    </xf>
    <xf numFmtId="0" fontId="11" fillId="3" borderId="44" xfId="1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 wrapText="1"/>
    </xf>
    <xf numFmtId="0" fontId="11" fillId="3" borderId="45" xfId="1" applyFont="1" applyFill="1" applyBorder="1" applyAlignment="1">
      <alignment horizontal="center" vertical="center" wrapText="1"/>
    </xf>
    <xf numFmtId="0" fontId="11" fillId="3" borderId="25" xfId="1" applyFont="1" applyFill="1" applyBorder="1" applyAlignment="1">
      <alignment horizontal="center" vertical="center" wrapText="1"/>
    </xf>
    <xf numFmtId="0" fontId="11" fillId="3" borderId="47" xfId="1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center" vertical="center" wrapText="1"/>
    </xf>
    <xf numFmtId="0" fontId="11" fillId="3" borderId="21" xfId="1" applyFont="1" applyFill="1" applyBorder="1" applyAlignment="1">
      <alignment horizontal="center" vertical="center"/>
    </xf>
    <xf numFmtId="0" fontId="11" fillId="3" borderId="51" xfId="1" applyFont="1" applyFill="1" applyBorder="1" applyAlignment="1">
      <alignment horizontal="center" vertical="center" wrapText="1"/>
    </xf>
    <xf numFmtId="0" fontId="11" fillId="3" borderId="52" xfId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/>
    </xf>
    <xf numFmtId="49" fontId="11" fillId="6" borderId="24" xfId="1" applyNumberFormat="1" applyFont="1" applyFill="1" applyBorder="1" applyAlignment="1">
      <alignment horizontal="center" vertical="center"/>
    </xf>
    <xf numFmtId="49" fontId="11" fillId="0" borderId="51" xfId="1" applyNumberFormat="1" applyFont="1" applyFill="1" applyBorder="1" applyAlignment="1">
      <alignment horizontal="center" vertical="center"/>
    </xf>
    <xf numFmtId="49" fontId="11" fillId="0" borderId="39" xfId="1" applyNumberFormat="1" applyFont="1" applyFill="1" applyBorder="1" applyAlignment="1">
      <alignment horizontal="center" vertical="center"/>
    </xf>
    <xf numFmtId="49" fontId="11" fillId="0" borderId="31" xfId="1" applyNumberFormat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49" fontId="11" fillId="0" borderId="62" xfId="1" applyNumberFormat="1" applyFont="1" applyBorder="1" applyAlignment="1">
      <alignment horizontal="center" vertical="top"/>
    </xf>
    <xf numFmtId="0" fontId="11" fillId="6" borderId="24" xfId="1" applyFont="1" applyFill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11" fillId="6" borderId="24" xfId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49" fontId="11" fillId="0" borderId="13" xfId="1" applyNumberFormat="1" applyFont="1" applyBorder="1" applyAlignment="1">
      <alignment horizontal="center" vertical="top"/>
    </xf>
    <xf numFmtId="49" fontId="11" fillId="0" borderId="52" xfId="1" applyNumberFormat="1" applyFont="1" applyFill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 wrapText="1"/>
    </xf>
    <xf numFmtId="49" fontId="11" fillId="3" borderId="41" xfId="1" applyNumberFormat="1" applyFont="1" applyFill="1" applyBorder="1" applyAlignment="1">
      <alignment horizontal="center" vertical="center"/>
    </xf>
    <xf numFmtId="49" fontId="11" fillId="3" borderId="35" xfId="1" applyNumberFormat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right" vertical="center" wrapText="1"/>
    </xf>
    <xf numFmtId="0" fontId="11" fillId="2" borderId="18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9" fillId="2" borderId="45" xfId="1" applyFont="1" applyFill="1" applyBorder="1" applyAlignment="1">
      <alignment horizontal="center" vertical="center" wrapText="1"/>
    </xf>
    <xf numFmtId="0" fontId="9" fillId="2" borderId="46" xfId="1" applyFont="1" applyFill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0" fontId="9" fillId="3" borderId="41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/>
    </xf>
    <xf numFmtId="0" fontId="9" fillId="3" borderId="42" xfId="1" applyFont="1" applyFill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0" fontId="8" fillId="4" borderId="33" xfId="1" applyFont="1" applyFill="1" applyBorder="1" applyAlignment="1">
      <alignment horizontal="center" vertical="center"/>
    </xf>
    <xf numFmtId="0" fontId="8" fillId="4" borderId="37" xfId="1" applyFont="1" applyFill="1" applyBorder="1" applyAlignment="1">
      <alignment horizontal="center" vertical="center"/>
    </xf>
    <xf numFmtId="49" fontId="11" fillId="2" borderId="41" xfId="1" applyNumberFormat="1" applyFont="1" applyFill="1" applyBorder="1" applyAlignment="1">
      <alignment horizontal="center" vertical="center"/>
    </xf>
    <xf numFmtId="49" fontId="11" fillId="2" borderId="52" xfId="1" applyNumberFormat="1" applyFont="1" applyFill="1" applyBorder="1" applyAlignment="1">
      <alignment horizontal="center" vertical="center"/>
    </xf>
    <xf numFmtId="49" fontId="11" fillId="2" borderId="35" xfId="1" applyNumberFormat="1" applyFont="1" applyFill="1" applyBorder="1" applyAlignment="1">
      <alignment horizontal="center" vertical="center"/>
    </xf>
    <xf numFmtId="49" fontId="11" fillId="2" borderId="36" xfId="1" applyNumberFormat="1" applyFont="1" applyFill="1" applyBorder="1" applyAlignment="1">
      <alignment horizontal="center" vertical="center"/>
    </xf>
    <xf numFmtId="0" fontId="27" fillId="0" borderId="0" xfId="1" applyFont="1" applyAlignment="1">
      <alignment horizontal="center" vertical="center" wrapText="1"/>
    </xf>
    <xf numFmtId="0" fontId="11" fillId="3" borderId="3" xfId="2" applyFont="1" applyFill="1" applyBorder="1" applyAlignment="1">
      <alignment horizontal="left"/>
    </xf>
    <xf numFmtId="0" fontId="11" fillId="3" borderId="5" xfId="2" applyFont="1" applyFill="1" applyBorder="1" applyAlignment="1">
      <alignment horizontal="left"/>
    </xf>
    <xf numFmtId="0" fontId="28" fillId="8" borderId="3" xfId="2" applyFont="1" applyFill="1" applyBorder="1" applyAlignment="1">
      <alignment horizontal="center" vertical="center"/>
    </xf>
    <xf numFmtId="0" fontId="28" fillId="8" borderId="5" xfId="2" applyFont="1" applyFill="1" applyBorder="1" applyAlignment="1">
      <alignment horizontal="center" vertical="center"/>
    </xf>
    <xf numFmtId="0" fontId="41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20">
    <cellStyle name="Normalny" xfId="0" builtinId="0"/>
    <cellStyle name="Normalny 2" xfId="1"/>
    <cellStyle name="Normalny 2 2" xfId="2"/>
    <cellStyle name="Normalny 2 2 2" xfId="12"/>
    <cellStyle name="Normalny 2 4" xfId="19"/>
    <cellStyle name="Normalny 3" xfId="3"/>
    <cellStyle name="Normalny 3 2" xfId="4"/>
    <cellStyle name="Normalny 3 2 2" xfId="5"/>
    <cellStyle name="Normalny 3 2 4" xfId="18"/>
    <cellStyle name="Normalny 4" xfId="6"/>
    <cellStyle name="Normalny 5" xfId="9"/>
    <cellStyle name="Normalny 5 2" xfId="11"/>
    <cellStyle name="Normalny 5 2 2" xfId="13"/>
    <cellStyle name="Normalny 6" xfId="10"/>
    <cellStyle name="Normalny 7" xfId="14"/>
    <cellStyle name="Normalny_Arkusz1" xfId="16"/>
    <cellStyle name="Procentowy 2" xfId="7"/>
    <cellStyle name="Procentowy 3" xfId="17"/>
    <cellStyle name="Walutowy 2" xfId="8"/>
    <cellStyle name="Walutowy 2 2" xfId="15"/>
  </cellStyles>
  <dxfs count="0"/>
  <tableStyles count="0" defaultTableStyle="TableStyleMedium9" defaultPivotStyle="PivotStyleLight16"/>
  <colors>
    <mruColors>
      <color rgb="FF00FF99"/>
      <color rgb="FF66FFFF"/>
      <color rgb="FF00FFCC"/>
      <color rgb="FFCC66FF"/>
      <color rgb="FF00CC99"/>
      <color rgb="FFCCFF33"/>
      <color rgb="FF99CCFF"/>
      <color rgb="FFCC99FF"/>
      <color rgb="FF66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CG1191"/>
  <sheetViews>
    <sheetView tabSelected="1" view="pageBreakPreview" zoomScaleNormal="100" zoomScaleSheetLayoutView="100" workbookViewId="0">
      <pane ySplit="8" topLeftCell="A9" activePane="bottomLeft" state="frozen"/>
      <selection activeCell="D13" sqref="D13"/>
      <selection pane="bottomLeft" activeCell="R11" sqref="R11"/>
    </sheetView>
  </sheetViews>
  <sheetFormatPr defaultColWidth="9.140625" defaultRowHeight="15"/>
  <cols>
    <col min="1" max="1" width="8.7109375" style="482" customWidth="1"/>
    <col min="2" max="2" width="8.85546875" style="482" customWidth="1"/>
    <col min="3" max="3" width="55.42578125" style="483" customWidth="1"/>
    <col min="4" max="4" width="11.85546875" style="483" customWidth="1"/>
    <col min="5" max="5" width="18.140625" style="1604" hidden="1" customWidth="1"/>
    <col min="6" max="6" width="22.140625" style="1604" hidden="1" customWidth="1"/>
    <col min="7" max="7" width="17.28515625" style="1625" hidden="1" customWidth="1"/>
    <col min="8" max="8" width="11.85546875" style="1619" hidden="1" customWidth="1"/>
    <col min="9" max="9" width="15.85546875" style="1620" hidden="1" customWidth="1"/>
    <col min="10" max="10" width="19.28515625" style="1620" customWidth="1"/>
    <col min="11" max="11" width="33.5703125" style="513" hidden="1" customWidth="1"/>
    <col min="12" max="12" width="14.42578125" style="513" hidden="1" customWidth="1"/>
    <col min="13" max="13" width="11.42578125" style="513" customWidth="1"/>
    <col min="14" max="16384" width="9.140625" style="513"/>
  </cols>
  <sheetData>
    <row r="1" spans="1:12" s="484" customFormat="1" ht="17.25" customHeight="1">
      <c r="A1" s="482"/>
      <c r="B1" s="482"/>
      <c r="C1" s="483"/>
      <c r="D1" s="3459" t="s">
        <v>1448</v>
      </c>
      <c r="E1" s="3459"/>
      <c r="F1" s="3459"/>
      <c r="G1" s="3459"/>
      <c r="H1" s="3459"/>
      <c r="I1" s="3459"/>
      <c r="J1" s="3459"/>
    </row>
    <row r="2" spans="1:12" s="484" customFormat="1" ht="36" customHeight="1">
      <c r="A2" s="482"/>
      <c r="B2" s="482"/>
      <c r="C2" s="483"/>
      <c r="D2" s="3459"/>
      <c r="E2" s="3459"/>
      <c r="F2" s="3459"/>
      <c r="G2" s="3459"/>
      <c r="H2" s="3459"/>
      <c r="I2" s="3459"/>
      <c r="J2" s="3459"/>
    </row>
    <row r="3" spans="1:12" s="484" customFormat="1" ht="42" customHeight="1">
      <c r="A3" s="3460" t="s">
        <v>314</v>
      </c>
      <c r="B3" s="3460"/>
      <c r="C3" s="3460"/>
      <c r="D3" s="3460"/>
      <c r="E3" s="3460"/>
      <c r="F3" s="3460"/>
      <c r="G3" s="3460"/>
      <c r="H3" s="3460"/>
      <c r="I3" s="3460"/>
      <c r="J3" s="3460"/>
      <c r="K3" s="3460"/>
      <c r="L3" s="3460"/>
    </row>
    <row r="4" spans="1:12" s="484" customFormat="1" ht="44.25" hidden="1" customHeight="1">
      <c r="A4" s="3460" t="s">
        <v>315</v>
      </c>
      <c r="B4" s="3460"/>
      <c r="C4" s="3460"/>
      <c r="D4" s="3460"/>
      <c r="E4" s="3460"/>
      <c r="F4" s="3460"/>
      <c r="G4" s="3460"/>
      <c r="H4" s="3460"/>
      <c r="I4" s="3460"/>
      <c r="J4" s="3460"/>
      <c r="K4" s="3460"/>
    </row>
    <row r="5" spans="1:12" s="484" customFormat="1" ht="15.75" customHeight="1" thickBot="1">
      <c r="A5" s="485"/>
      <c r="B5" s="485"/>
      <c r="C5" s="485"/>
      <c r="D5" s="485"/>
      <c r="E5" s="485"/>
      <c r="F5" s="485"/>
      <c r="G5" s="486"/>
      <c r="H5" s="487"/>
      <c r="I5" s="488"/>
      <c r="J5" s="489" t="s">
        <v>5</v>
      </c>
      <c r="L5" s="490" t="s">
        <v>5</v>
      </c>
    </row>
    <row r="6" spans="1:12" s="484" customFormat="1" ht="8.25" hidden="1" customHeight="1" thickBot="1">
      <c r="A6" s="491"/>
      <c r="B6" s="492"/>
      <c r="C6" s="493"/>
      <c r="D6" s="493"/>
      <c r="E6" s="494"/>
      <c r="F6" s="494"/>
      <c r="G6" s="495"/>
      <c r="H6" s="496" t="s">
        <v>316</v>
      </c>
      <c r="I6" s="497"/>
      <c r="J6" s="497"/>
    </row>
    <row r="7" spans="1:12" s="484" customFormat="1" ht="38.25" customHeight="1" thickBot="1">
      <c r="A7" s="3461" t="s">
        <v>0</v>
      </c>
      <c r="B7" s="3462" t="s">
        <v>317</v>
      </c>
      <c r="C7" s="3462" t="s">
        <v>318</v>
      </c>
      <c r="D7" s="3462" t="s">
        <v>2</v>
      </c>
      <c r="E7" s="3451" t="s">
        <v>319</v>
      </c>
      <c r="F7" s="3451" t="s">
        <v>320</v>
      </c>
      <c r="G7" s="3455" t="s">
        <v>321</v>
      </c>
      <c r="H7" s="3451" t="s">
        <v>322</v>
      </c>
      <c r="I7" s="3453" t="s">
        <v>323</v>
      </c>
      <c r="J7" s="3455" t="s">
        <v>324</v>
      </c>
      <c r="K7" s="3457" t="s">
        <v>325</v>
      </c>
      <c r="L7" s="3455" t="s">
        <v>326</v>
      </c>
    </row>
    <row r="8" spans="1:12" s="484" customFormat="1" ht="42" customHeight="1" thickBot="1">
      <c r="A8" s="3461"/>
      <c r="B8" s="3463"/>
      <c r="C8" s="3463"/>
      <c r="D8" s="3463"/>
      <c r="E8" s="3452"/>
      <c r="F8" s="3452"/>
      <c r="G8" s="3456"/>
      <c r="H8" s="3452"/>
      <c r="I8" s="3454"/>
      <c r="J8" s="3456"/>
      <c r="K8" s="3458"/>
      <c r="L8" s="3456"/>
    </row>
    <row r="9" spans="1:12" s="484" customFormat="1" ht="15.75" thickBot="1">
      <c r="A9" s="498" t="s">
        <v>327</v>
      </c>
      <c r="B9" s="499" t="s">
        <v>328</v>
      </c>
      <c r="C9" s="498" t="s">
        <v>329</v>
      </c>
      <c r="D9" s="500" t="s">
        <v>330</v>
      </c>
      <c r="E9" s="501" t="s">
        <v>331</v>
      </c>
      <c r="F9" s="501" t="s">
        <v>331</v>
      </c>
      <c r="G9" s="502" t="s">
        <v>332</v>
      </c>
      <c r="H9" s="503" t="s">
        <v>333</v>
      </c>
      <c r="I9" s="503" t="s">
        <v>334</v>
      </c>
      <c r="J9" s="503" t="s">
        <v>331</v>
      </c>
      <c r="K9" s="504" t="s">
        <v>335</v>
      </c>
      <c r="L9" s="503" t="s">
        <v>332</v>
      </c>
    </row>
    <row r="10" spans="1:12" ht="15.75" thickBot="1">
      <c r="A10" s="505" t="s">
        <v>6</v>
      </c>
      <c r="B10" s="506"/>
      <c r="C10" s="507" t="s">
        <v>10</v>
      </c>
      <c r="D10" s="508"/>
      <c r="E10" s="509">
        <f>SUM(E11,E18,E24,E32,)</f>
        <v>36071000</v>
      </c>
      <c r="F10" s="509">
        <f>SUM(F11,F18,F24,F32,)</f>
        <v>37620832</v>
      </c>
      <c r="G10" s="509">
        <f>SUM(G11,G18,G24,G32,)</f>
        <v>38208000</v>
      </c>
      <c r="H10" s="510">
        <f>G10/E10</f>
        <v>1.0592442682487317</v>
      </c>
      <c r="I10" s="509">
        <f>SUM(I11,I18,I24,I32,)</f>
        <v>3277000</v>
      </c>
      <c r="J10" s="509">
        <f>SUM(J11,J18,J24,J32,)</f>
        <v>41485000</v>
      </c>
      <c r="K10" s="511"/>
      <c r="L10" s="512">
        <f>J10/F10</f>
        <v>1.1027135178722256</v>
      </c>
    </row>
    <row r="11" spans="1:12" ht="15.75" thickBot="1">
      <c r="A11" s="514"/>
      <c r="B11" s="515" t="s">
        <v>336</v>
      </c>
      <c r="C11" s="516" t="s">
        <v>337</v>
      </c>
      <c r="D11" s="517"/>
      <c r="E11" s="518">
        <f>SUM(E12,E16)</f>
        <v>18833000</v>
      </c>
      <c r="F11" s="518">
        <f>SUM(F12,F16)</f>
        <v>18833000</v>
      </c>
      <c r="G11" s="518">
        <f>SUM(G12,G16)</f>
        <v>16400000</v>
      </c>
      <c r="H11" s="519">
        <f t="shared" ref="H11:H15" si="0">G11/E11</f>
        <v>0.87081187277650929</v>
      </c>
      <c r="I11" s="518">
        <f>SUM(I12,I16)</f>
        <v>0</v>
      </c>
      <c r="J11" s="518">
        <f>SUM(J12,J16)</f>
        <v>16400000</v>
      </c>
      <c r="K11" s="520"/>
      <c r="L11" s="521">
        <f t="shared" ref="L11:L74" si="1">J11/F11</f>
        <v>0.87081187277650929</v>
      </c>
    </row>
    <row r="12" spans="1:12" ht="15" customHeight="1">
      <c r="A12" s="522"/>
      <c r="B12" s="3333" t="s">
        <v>338</v>
      </c>
      <c r="C12" s="3333"/>
      <c r="D12" s="523"/>
      <c r="E12" s="524">
        <f>SUM(E13:E15)</f>
        <v>18833000</v>
      </c>
      <c r="F12" s="524">
        <f>SUM(F13:F15)</f>
        <v>18833000</v>
      </c>
      <c r="G12" s="524">
        <f>SUM(G13:G15)</f>
        <v>16400000</v>
      </c>
      <c r="H12" s="525">
        <f t="shared" si="0"/>
        <v>0.87081187277650929</v>
      </c>
      <c r="I12" s="524">
        <f>SUM(I13:I15)</f>
        <v>0</v>
      </c>
      <c r="J12" s="524">
        <f>SUM(J13:J15)</f>
        <v>16400000</v>
      </c>
      <c r="K12" s="526"/>
      <c r="L12" s="527">
        <f t="shared" si="1"/>
        <v>0.87081187277650929</v>
      </c>
    </row>
    <row r="13" spans="1:12" ht="15" customHeight="1">
      <c r="A13" s="522"/>
      <c r="B13" s="3334"/>
      <c r="C13" s="3375" t="s">
        <v>339</v>
      </c>
      <c r="D13" s="528" t="s">
        <v>340</v>
      </c>
      <c r="E13" s="529">
        <v>22500</v>
      </c>
      <c r="F13" s="529">
        <v>22500</v>
      </c>
      <c r="G13" s="529">
        <v>23625</v>
      </c>
      <c r="H13" s="530">
        <f t="shared" si="0"/>
        <v>1.05</v>
      </c>
      <c r="I13" s="531">
        <v>0</v>
      </c>
      <c r="J13" s="531">
        <f>SUM(G13,I13)</f>
        <v>23625</v>
      </c>
      <c r="K13" s="532"/>
      <c r="L13" s="533">
        <f t="shared" si="1"/>
        <v>1.05</v>
      </c>
    </row>
    <row r="14" spans="1:12" ht="16.5" customHeight="1">
      <c r="A14" s="522"/>
      <c r="B14" s="3335"/>
      <c r="C14" s="3447"/>
      <c r="D14" s="534" t="s">
        <v>341</v>
      </c>
      <c r="E14" s="535">
        <v>18808300</v>
      </c>
      <c r="F14" s="535">
        <v>18808300</v>
      </c>
      <c r="G14" s="535">
        <f>16302320+62990+8715</f>
        <v>16374025</v>
      </c>
      <c r="H14" s="530">
        <f t="shared" si="0"/>
        <v>0.87057442724754497</v>
      </c>
      <c r="I14" s="531">
        <v>0</v>
      </c>
      <c r="J14" s="531">
        <f t="shared" ref="J14:J15" si="2">SUM(G14,I14)</f>
        <v>16374025</v>
      </c>
      <c r="K14" s="532"/>
      <c r="L14" s="533">
        <f t="shared" si="1"/>
        <v>0.87057442724754497</v>
      </c>
    </row>
    <row r="15" spans="1:12" ht="17.25" customHeight="1">
      <c r="A15" s="522"/>
      <c r="B15" s="3336"/>
      <c r="C15" s="3376"/>
      <c r="D15" s="536" t="s">
        <v>342</v>
      </c>
      <c r="E15" s="535">
        <v>2200</v>
      </c>
      <c r="F15" s="535">
        <v>2200</v>
      </c>
      <c r="G15" s="535">
        <v>2350</v>
      </c>
      <c r="H15" s="530">
        <f t="shared" si="0"/>
        <v>1.0681818181818181</v>
      </c>
      <c r="I15" s="531">
        <v>0</v>
      </c>
      <c r="J15" s="531">
        <f t="shared" si="2"/>
        <v>2350</v>
      </c>
      <c r="K15" s="532"/>
      <c r="L15" s="533">
        <f t="shared" si="1"/>
        <v>1.0681818181818181</v>
      </c>
    </row>
    <row r="16" spans="1:12" ht="13.5" customHeight="1" thickBot="1">
      <c r="A16" s="522"/>
      <c r="B16" s="3439" t="s">
        <v>343</v>
      </c>
      <c r="C16" s="3448"/>
      <c r="D16" s="537"/>
      <c r="E16" s="538">
        <f>SUM(E17)</f>
        <v>0</v>
      </c>
      <c r="F16" s="538">
        <f t="shared" ref="F16:J16" si="3">SUM(F17)</f>
        <v>0</v>
      </c>
      <c r="G16" s="538">
        <f t="shared" si="3"/>
        <v>0</v>
      </c>
      <c r="H16" s="539"/>
      <c r="I16" s="538">
        <f t="shared" si="3"/>
        <v>0</v>
      </c>
      <c r="J16" s="538">
        <f t="shared" si="3"/>
        <v>0</v>
      </c>
      <c r="K16" s="540"/>
      <c r="L16" s="541"/>
    </row>
    <row r="17" spans="1:12" s="550" customFormat="1" ht="29.25" hidden="1" customHeight="1" thickBot="1">
      <c r="A17" s="522"/>
      <c r="B17" s="542"/>
      <c r="C17" s="543" t="s">
        <v>344</v>
      </c>
      <c r="D17" s="544" t="s">
        <v>345</v>
      </c>
      <c r="E17" s="545">
        <v>0</v>
      </c>
      <c r="F17" s="545">
        <v>0</v>
      </c>
      <c r="G17" s="545">
        <v>0</v>
      </c>
      <c r="H17" s="546"/>
      <c r="I17" s="547"/>
      <c r="J17" s="547"/>
      <c r="K17" s="548"/>
      <c r="L17" s="549" t="e">
        <f t="shared" si="1"/>
        <v>#DIV/0!</v>
      </c>
    </row>
    <row r="18" spans="1:12" ht="15.75" thickBot="1">
      <c r="A18" s="522"/>
      <c r="B18" s="515" t="s">
        <v>346</v>
      </c>
      <c r="C18" s="516" t="s">
        <v>347</v>
      </c>
      <c r="D18" s="551"/>
      <c r="E18" s="518">
        <f>SUM(E19,E23)</f>
        <v>7430000</v>
      </c>
      <c r="F18" s="518">
        <f t="shared" ref="F18:G18" si="4">SUM(F19,F23)</f>
        <v>7430000</v>
      </c>
      <c r="G18" s="518">
        <f t="shared" si="4"/>
        <v>9000000</v>
      </c>
      <c r="H18" s="519">
        <f t="shared" ref="H18:H26" si="5">G18/E18</f>
        <v>1.2113055181695829</v>
      </c>
      <c r="I18" s="518">
        <f t="shared" ref="I18:J18" si="6">SUM(I19,I23)</f>
        <v>0</v>
      </c>
      <c r="J18" s="518">
        <f t="shared" si="6"/>
        <v>9000000</v>
      </c>
      <c r="K18" s="552"/>
      <c r="L18" s="553">
        <f t="shared" si="1"/>
        <v>1.2113055181695829</v>
      </c>
    </row>
    <row r="19" spans="1:12">
      <c r="A19" s="522"/>
      <c r="B19" s="3332" t="s">
        <v>338</v>
      </c>
      <c r="C19" s="3443"/>
      <c r="D19" s="554"/>
      <c r="E19" s="555">
        <f>SUM(E20:E22)</f>
        <v>7430000</v>
      </c>
      <c r="F19" s="555">
        <f t="shared" ref="F19:G19" si="7">SUM(F20:F22)</f>
        <v>7430000</v>
      </c>
      <c r="G19" s="555">
        <f t="shared" si="7"/>
        <v>9000000</v>
      </c>
      <c r="H19" s="525">
        <f t="shared" si="5"/>
        <v>1.2113055181695829</v>
      </c>
      <c r="I19" s="555">
        <f t="shared" ref="I19:J19" si="8">SUM(I20:I22)</f>
        <v>0</v>
      </c>
      <c r="J19" s="555">
        <f t="shared" si="8"/>
        <v>9000000</v>
      </c>
      <c r="K19" s="526"/>
      <c r="L19" s="556">
        <f t="shared" si="1"/>
        <v>1.2113055181695829</v>
      </c>
    </row>
    <row r="20" spans="1:12" s="564" customFormat="1" ht="25.5" hidden="1">
      <c r="A20" s="522"/>
      <c r="B20" s="557"/>
      <c r="C20" s="558" t="s">
        <v>348</v>
      </c>
      <c r="D20" s="559" t="s">
        <v>349</v>
      </c>
      <c r="E20" s="560">
        <v>0</v>
      </c>
      <c r="F20" s="560">
        <v>0</v>
      </c>
      <c r="G20" s="560">
        <v>0</v>
      </c>
      <c r="H20" s="530" t="e">
        <f t="shared" si="5"/>
        <v>#DIV/0!</v>
      </c>
      <c r="I20" s="561"/>
      <c r="J20" s="561"/>
      <c r="K20" s="562"/>
      <c r="L20" s="563" t="e">
        <f t="shared" si="1"/>
        <v>#DIV/0!</v>
      </c>
    </row>
    <row r="21" spans="1:12" ht="39.75" customHeight="1">
      <c r="A21" s="522"/>
      <c r="B21" s="565"/>
      <c r="C21" s="566" t="s">
        <v>350</v>
      </c>
      <c r="D21" s="567">
        <v>2058</v>
      </c>
      <c r="E21" s="535">
        <v>4727000</v>
      </c>
      <c r="F21" s="535">
        <v>4727000</v>
      </c>
      <c r="G21" s="535">
        <v>5726000</v>
      </c>
      <c r="H21" s="530">
        <f t="shared" si="5"/>
        <v>1.2113391157182145</v>
      </c>
      <c r="I21" s="531">
        <v>0</v>
      </c>
      <c r="J21" s="531">
        <f t="shared" ref="J21:J22" si="9">SUM(G21,I21)</f>
        <v>5726000</v>
      </c>
      <c r="K21" s="568" t="s">
        <v>351</v>
      </c>
      <c r="L21" s="533">
        <f t="shared" si="1"/>
        <v>1.2113391157182145</v>
      </c>
    </row>
    <row r="22" spans="1:12" ht="41.25" customHeight="1">
      <c r="A22" s="522"/>
      <c r="B22" s="569"/>
      <c r="C22" s="570" t="s">
        <v>352</v>
      </c>
      <c r="D22" s="571">
        <v>2059</v>
      </c>
      <c r="E22" s="535">
        <v>2703000</v>
      </c>
      <c r="F22" s="535">
        <v>2703000</v>
      </c>
      <c r="G22" s="535">
        <v>3274000</v>
      </c>
      <c r="H22" s="530">
        <f t="shared" si="5"/>
        <v>1.2112467628560859</v>
      </c>
      <c r="I22" s="531">
        <v>0</v>
      </c>
      <c r="J22" s="531">
        <f t="shared" si="9"/>
        <v>3274000</v>
      </c>
      <c r="K22" s="568" t="s">
        <v>351</v>
      </c>
      <c r="L22" s="533">
        <f t="shared" si="1"/>
        <v>1.2112467628560859</v>
      </c>
    </row>
    <row r="23" spans="1:12" ht="15.75" thickBot="1">
      <c r="A23" s="522"/>
      <c r="B23" s="3449" t="s">
        <v>343</v>
      </c>
      <c r="C23" s="3445"/>
      <c r="D23" s="572"/>
      <c r="E23" s="573">
        <v>0</v>
      </c>
      <c r="F23" s="573">
        <v>0</v>
      </c>
      <c r="G23" s="573">
        <v>0</v>
      </c>
      <c r="H23" s="574"/>
      <c r="I23" s="573">
        <v>0</v>
      </c>
      <c r="J23" s="573">
        <v>0</v>
      </c>
      <c r="K23" s="575"/>
      <c r="L23" s="576"/>
    </row>
    <row r="24" spans="1:12" ht="15.75" thickBot="1">
      <c r="A24" s="522"/>
      <c r="B24" s="515" t="s">
        <v>202</v>
      </c>
      <c r="C24" s="517" t="s">
        <v>353</v>
      </c>
      <c r="D24" s="577"/>
      <c r="E24" s="518">
        <f>SUM(E30,E25)</f>
        <v>9500000</v>
      </c>
      <c r="F24" s="518">
        <f>SUM(F30,F25)</f>
        <v>9500000</v>
      </c>
      <c r="G24" s="518">
        <f>SUM(G30,G25)</f>
        <v>12500000</v>
      </c>
      <c r="H24" s="519">
        <f t="shared" si="5"/>
        <v>1.3157894736842106</v>
      </c>
      <c r="I24" s="518">
        <f>SUM(I30,I25)</f>
        <v>0</v>
      </c>
      <c r="J24" s="518">
        <f>SUM(J30,J25)</f>
        <v>12500000</v>
      </c>
      <c r="K24" s="552"/>
      <c r="L24" s="553">
        <f t="shared" si="1"/>
        <v>1.3157894736842106</v>
      </c>
    </row>
    <row r="25" spans="1:12">
      <c r="A25" s="522"/>
      <c r="B25" s="3450" t="s">
        <v>338</v>
      </c>
      <c r="C25" s="3450"/>
      <c r="D25" s="578"/>
      <c r="E25" s="524">
        <f>SUM(E26:E29)</f>
        <v>9500000</v>
      </c>
      <c r="F25" s="524">
        <f>SUM(F26:F29)</f>
        <v>9500000</v>
      </c>
      <c r="G25" s="524">
        <f>SUM(G26:G29)</f>
        <v>12500000</v>
      </c>
      <c r="H25" s="525">
        <f t="shared" si="5"/>
        <v>1.3157894736842106</v>
      </c>
      <c r="I25" s="524">
        <f>SUM(I26:I29)</f>
        <v>0</v>
      </c>
      <c r="J25" s="524">
        <f>SUM(J26:J29)</f>
        <v>12500000</v>
      </c>
      <c r="K25" s="526"/>
      <c r="L25" s="556">
        <f t="shared" si="1"/>
        <v>1.3157894736842106</v>
      </c>
    </row>
    <row r="26" spans="1:12" ht="21.75" customHeight="1">
      <c r="A26" s="522"/>
      <c r="B26" s="579"/>
      <c r="C26" s="580" t="s">
        <v>354</v>
      </c>
      <c r="D26" s="581" t="s">
        <v>355</v>
      </c>
      <c r="E26" s="535">
        <v>9500000</v>
      </c>
      <c r="F26" s="535">
        <v>9500000</v>
      </c>
      <c r="G26" s="535">
        <v>12500000</v>
      </c>
      <c r="H26" s="530">
        <f t="shared" si="5"/>
        <v>1.3157894736842106</v>
      </c>
      <c r="I26" s="531">
        <v>0</v>
      </c>
      <c r="J26" s="531">
        <f t="shared" ref="J26" si="10">SUM(G26,I26)</f>
        <v>12500000</v>
      </c>
      <c r="K26" s="532"/>
      <c r="L26" s="533">
        <f t="shared" si="1"/>
        <v>1.3157894736842106</v>
      </c>
    </row>
    <row r="27" spans="1:12" ht="12.75" hidden="1" customHeight="1" thickBot="1">
      <c r="A27" s="582"/>
      <c r="B27" s="583"/>
      <c r="C27" s="584"/>
      <c r="D27" s="585"/>
      <c r="E27" s="586"/>
      <c r="F27" s="587"/>
      <c r="G27" s="587"/>
      <c r="H27" s="588"/>
      <c r="I27" s="589"/>
      <c r="J27" s="589"/>
      <c r="K27" s="590"/>
      <c r="L27" s="563" t="e">
        <f t="shared" si="1"/>
        <v>#DIV/0!</v>
      </c>
    </row>
    <row r="28" spans="1:12" ht="5.25" hidden="1" customHeight="1">
      <c r="A28" s="522"/>
      <c r="B28" s="591"/>
      <c r="C28" s="592" t="s">
        <v>356</v>
      </c>
      <c r="D28" s="593" t="s">
        <v>357</v>
      </c>
      <c r="E28" s="594">
        <v>0</v>
      </c>
      <c r="F28" s="594">
        <v>0</v>
      </c>
      <c r="G28" s="594">
        <v>0</v>
      </c>
      <c r="H28" s="546" t="e">
        <f t="shared" ref="H28:H29" si="11">G28/F28</f>
        <v>#DIV/0!</v>
      </c>
      <c r="I28" s="595"/>
      <c r="J28" s="595"/>
      <c r="K28" s="596"/>
      <c r="L28" s="563" t="e">
        <f t="shared" si="1"/>
        <v>#DIV/0!</v>
      </c>
    </row>
    <row r="29" spans="1:12" ht="10.5" hidden="1" customHeight="1">
      <c r="A29" s="522"/>
      <c r="B29" s="597"/>
      <c r="C29" s="598" t="s">
        <v>358</v>
      </c>
      <c r="D29" s="599" t="s">
        <v>359</v>
      </c>
      <c r="E29" s="600">
        <v>0</v>
      </c>
      <c r="F29" s="600">
        <v>0</v>
      </c>
      <c r="G29" s="600">
        <v>0</v>
      </c>
      <c r="H29" s="601" t="e">
        <f t="shared" si="11"/>
        <v>#DIV/0!</v>
      </c>
      <c r="I29" s="602"/>
      <c r="J29" s="602"/>
      <c r="K29" s="603"/>
      <c r="L29" s="563" t="e">
        <f t="shared" si="1"/>
        <v>#DIV/0!</v>
      </c>
    </row>
    <row r="30" spans="1:12" ht="15.75" thickBot="1">
      <c r="A30" s="522"/>
      <c r="B30" s="3441" t="s">
        <v>343</v>
      </c>
      <c r="C30" s="3442"/>
      <c r="D30" s="604"/>
      <c r="E30" s="605">
        <f>SUM(E31)</f>
        <v>0</v>
      </c>
      <c r="F30" s="605">
        <f>SUM(F31)</f>
        <v>0</v>
      </c>
      <c r="G30" s="605">
        <f>SUM(G31)</f>
        <v>0</v>
      </c>
      <c r="H30" s="606"/>
      <c r="I30" s="605">
        <f>SUM(I31)</f>
        <v>0</v>
      </c>
      <c r="J30" s="605">
        <f>SUM(J31)</f>
        <v>0</v>
      </c>
      <c r="K30" s="607"/>
      <c r="L30" s="608"/>
    </row>
    <row r="31" spans="1:12" ht="26.25" hidden="1" thickBot="1">
      <c r="A31" s="522"/>
      <c r="B31" s="609"/>
      <c r="C31" s="610" t="s">
        <v>360</v>
      </c>
      <c r="D31" s="611"/>
      <c r="E31" s="586"/>
      <c r="F31" s="587"/>
      <c r="G31" s="587"/>
      <c r="H31" s="588"/>
      <c r="I31" s="587"/>
      <c r="J31" s="587"/>
      <c r="K31" s="590"/>
      <c r="L31" s="612" t="e">
        <f t="shared" si="1"/>
        <v>#DIV/0!</v>
      </c>
    </row>
    <row r="32" spans="1:12" ht="15.75" thickBot="1">
      <c r="A32" s="522"/>
      <c r="B32" s="613" t="s">
        <v>7</v>
      </c>
      <c r="C32" s="516" t="s">
        <v>11</v>
      </c>
      <c r="D32" s="614"/>
      <c r="E32" s="615">
        <f>E33+E37</f>
        <v>308000</v>
      </c>
      <c r="F32" s="615">
        <f>F33+F37</f>
        <v>1857832</v>
      </c>
      <c r="G32" s="615">
        <f>G33+G37</f>
        <v>308000</v>
      </c>
      <c r="H32" s="616">
        <f t="shared" ref="H32:H47" si="12">G32/E32</f>
        <v>1</v>
      </c>
      <c r="I32" s="615">
        <f>I33+I37</f>
        <v>3277000</v>
      </c>
      <c r="J32" s="615">
        <f>J33+J37</f>
        <v>3585000</v>
      </c>
      <c r="K32" s="617"/>
      <c r="L32" s="553">
        <f t="shared" si="1"/>
        <v>1.9296685599128447</v>
      </c>
    </row>
    <row r="33" spans="1:12">
      <c r="A33" s="522"/>
      <c r="B33" s="3332" t="s">
        <v>338</v>
      </c>
      <c r="C33" s="3443"/>
      <c r="D33" s="618"/>
      <c r="E33" s="619">
        <f>SUM(E34:E36)</f>
        <v>308000</v>
      </c>
      <c r="F33" s="619">
        <f>SUM(F34:F36)</f>
        <v>1857832</v>
      </c>
      <c r="G33" s="619">
        <f>SUM(G34:G36)</f>
        <v>308000</v>
      </c>
      <c r="H33" s="620">
        <f t="shared" si="12"/>
        <v>1</v>
      </c>
      <c r="I33" s="619">
        <f>SUM(I34:I36)</f>
        <v>3277000</v>
      </c>
      <c r="J33" s="619">
        <f>SUM(J34:J36)</f>
        <v>3585000</v>
      </c>
      <c r="K33" s="621"/>
      <c r="L33" s="556">
        <f t="shared" si="1"/>
        <v>1.9296685599128447</v>
      </c>
    </row>
    <row r="34" spans="1:12" s="550" customFormat="1" ht="54" hidden="1" customHeight="1">
      <c r="A34" s="522"/>
      <c r="B34" s="3444"/>
      <c r="C34" s="622" t="s">
        <v>361</v>
      </c>
      <c r="D34" s="623" t="s">
        <v>362</v>
      </c>
      <c r="E34" s="624">
        <v>0</v>
      </c>
      <c r="F34" s="624">
        <v>708</v>
      </c>
      <c r="G34" s="625">
        <v>0</v>
      </c>
      <c r="H34" s="601"/>
      <c r="I34" s="531">
        <v>0</v>
      </c>
      <c r="J34" s="531">
        <f t="shared" ref="J34:J36" si="13">SUM(G34,I34)</f>
        <v>0</v>
      </c>
      <c r="K34" s="603"/>
      <c r="L34" s="533">
        <f t="shared" si="1"/>
        <v>0</v>
      </c>
    </row>
    <row r="35" spans="1:12" ht="40.5" customHeight="1">
      <c r="A35" s="522"/>
      <c r="B35" s="3444"/>
      <c r="C35" s="626" t="s">
        <v>363</v>
      </c>
      <c r="D35" s="627">
        <v>2210</v>
      </c>
      <c r="E35" s="628">
        <v>308000</v>
      </c>
      <c r="F35" s="628">
        <v>1759404</v>
      </c>
      <c r="G35" s="628">
        <v>308000</v>
      </c>
      <c r="H35" s="629">
        <f t="shared" si="12"/>
        <v>1</v>
      </c>
      <c r="I35" s="630">
        <v>3277000</v>
      </c>
      <c r="J35" s="531">
        <f t="shared" si="13"/>
        <v>3585000</v>
      </c>
      <c r="K35" s="631" t="s">
        <v>351</v>
      </c>
      <c r="L35" s="533">
        <f t="shared" si="1"/>
        <v>2.0376218310291438</v>
      </c>
    </row>
    <row r="36" spans="1:12" ht="30" hidden="1" customHeight="1">
      <c r="A36" s="522"/>
      <c r="B36" s="3444"/>
      <c r="C36" s="632" t="s">
        <v>364</v>
      </c>
      <c r="D36" s="633">
        <v>2460</v>
      </c>
      <c r="E36" s="634">
        <v>0</v>
      </c>
      <c r="F36" s="634">
        <v>97720</v>
      </c>
      <c r="G36" s="634">
        <v>0</v>
      </c>
      <c r="H36" s="601"/>
      <c r="I36" s="635">
        <v>0</v>
      </c>
      <c r="J36" s="531">
        <f t="shared" si="13"/>
        <v>0</v>
      </c>
      <c r="K36" s="636"/>
      <c r="L36" s="533">
        <f t="shared" si="1"/>
        <v>0</v>
      </c>
    </row>
    <row r="37" spans="1:12" ht="15.75" thickBot="1">
      <c r="A37" s="582"/>
      <c r="B37" s="3365" t="s">
        <v>343</v>
      </c>
      <c r="C37" s="3445"/>
      <c r="D37" s="572"/>
      <c r="E37" s="637">
        <v>0</v>
      </c>
      <c r="F37" s="573">
        <v>0</v>
      </c>
      <c r="G37" s="573">
        <v>0</v>
      </c>
      <c r="H37" s="574"/>
      <c r="I37" s="573">
        <v>0</v>
      </c>
      <c r="J37" s="573">
        <v>0</v>
      </c>
      <c r="K37" s="575"/>
      <c r="L37" s="576"/>
    </row>
    <row r="38" spans="1:12" s="564" customFormat="1" ht="15.75" customHeight="1" thickBot="1">
      <c r="A38" s="638" t="s">
        <v>365</v>
      </c>
      <c r="B38" s="639"/>
      <c r="C38" s="640" t="s">
        <v>366</v>
      </c>
      <c r="D38" s="641"/>
      <c r="E38" s="509">
        <f t="shared" ref="E38:J38" si="14">SUM(E39)</f>
        <v>490000</v>
      </c>
      <c r="F38" s="509">
        <f t="shared" si="14"/>
        <v>490000</v>
      </c>
      <c r="G38" s="509">
        <f t="shared" si="14"/>
        <v>500000</v>
      </c>
      <c r="H38" s="510">
        <f t="shared" si="12"/>
        <v>1.0204081632653061</v>
      </c>
      <c r="I38" s="509">
        <f t="shared" si="14"/>
        <v>0</v>
      </c>
      <c r="J38" s="509">
        <f t="shared" si="14"/>
        <v>500000</v>
      </c>
      <c r="K38" s="642"/>
      <c r="L38" s="643">
        <f t="shared" si="1"/>
        <v>1.0204081632653061</v>
      </c>
    </row>
    <row r="39" spans="1:12" ht="40.5" customHeight="1" thickBot="1">
      <c r="A39" s="3432"/>
      <c r="B39" s="644" t="s">
        <v>367</v>
      </c>
      <c r="C39" s="516" t="s">
        <v>368</v>
      </c>
      <c r="D39" s="517"/>
      <c r="E39" s="518">
        <f>SUM(E40,E43)</f>
        <v>490000</v>
      </c>
      <c r="F39" s="518">
        <f>SUM(F40,F43)</f>
        <v>490000</v>
      </c>
      <c r="G39" s="518">
        <f>SUM(G40,G43)</f>
        <v>500000</v>
      </c>
      <c r="H39" s="519">
        <f t="shared" si="12"/>
        <v>1.0204081632653061</v>
      </c>
      <c r="I39" s="518">
        <f>SUM(I40,I43)</f>
        <v>0</v>
      </c>
      <c r="J39" s="518">
        <f>SUM(J40,J43)</f>
        <v>500000</v>
      </c>
      <c r="K39" s="552"/>
      <c r="L39" s="553">
        <f t="shared" si="1"/>
        <v>1.0204081632653061</v>
      </c>
    </row>
    <row r="40" spans="1:12">
      <c r="A40" s="3433"/>
      <c r="B40" s="3332" t="s">
        <v>338</v>
      </c>
      <c r="C40" s="3379"/>
      <c r="D40" s="554"/>
      <c r="E40" s="555">
        <f t="shared" ref="E40:G40" si="15">SUM(E41:E42)</f>
        <v>490000</v>
      </c>
      <c r="F40" s="555">
        <f t="shared" si="15"/>
        <v>490000</v>
      </c>
      <c r="G40" s="555">
        <f t="shared" si="15"/>
        <v>500000</v>
      </c>
      <c r="H40" s="525">
        <f t="shared" si="12"/>
        <v>1.0204081632653061</v>
      </c>
      <c r="I40" s="555">
        <f t="shared" ref="I40:J40" si="16">SUM(I41:I42)</f>
        <v>0</v>
      </c>
      <c r="J40" s="555">
        <f t="shared" si="16"/>
        <v>500000</v>
      </c>
      <c r="K40" s="526"/>
      <c r="L40" s="556">
        <f t="shared" si="1"/>
        <v>1.0204081632653061</v>
      </c>
    </row>
    <row r="41" spans="1:12" ht="41.25" customHeight="1">
      <c r="A41" s="3433"/>
      <c r="B41" s="3446"/>
      <c r="C41" s="645" t="s">
        <v>369</v>
      </c>
      <c r="D41" s="646">
        <v>2058</v>
      </c>
      <c r="E41" s="535">
        <v>367000</v>
      </c>
      <c r="F41" s="535">
        <v>367000</v>
      </c>
      <c r="G41" s="535">
        <v>375000</v>
      </c>
      <c r="H41" s="629">
        <f t="shared" si="12"/>
        <v>1.0217983651226159</v>
      </c>
      <c r="I41" s="647">
        <v>0</v>
      </c>
      <c r="J41" s="531">
        <f t="shared" ref="J41:J42" si="17">SUM(G41,I41)</f>
        <v>375000</v>
      </c>
      <c r="K41" s="648" t="s">
        <v>351</v>
      </c>
      <c r="L41" s="533">
        <f t="shared" si="1"/>
        <v>1.0217983651226159</v>
      </c>
    </row>
    <row r="42" spans="1:12" ht="39.75" customHeight="1">
      <c r="A42" s="3433"/>
      <c r="B42" s="3446"/>
      <c r="C42" s="645" t="s">
        <v>370</v>
      </c>
      <c r="D42" s="646">
        <v>2059</v>
      </c>
      <c r="E42" s="535">
        <v>123000</v>
      </c>
      <c r="F42" s="535">
        <v>123000</v>
      </c>
      <c r="G42" s="535">
        <v>125000</v>
      </c>
      <c r="H42" s="629">
        <f t="shared" si="12"/>
        <v>1.0162601626016261</v>
      </c>
      <c r="I42" s="647">
        <v>0</v>
      </c>
      <c r="J42" s="531">
        <f t="shared" si="17"/>
        <v>125000</v>
      </c>
      <c r="K42" s="648" t="s">
        <v>351</v>
      </c>
      <c r="L42" s="533">
        <f t="shared" si="1"/>
        <v>1.0162601626016261</v>
      </c>
    </row>
    <row r="43" spans="1:12" ht="15.75" thickBot="1">
      <c r="A43" s="3434"/>
      <c r="B43" s="3365" t="s">
        <v>343</v>
      </c>
      <c r="C43" s="3445"/>
      <c r="D43" s="649"/>
      <c r="E43" s="573">
        <v>0</v>
      </c>
      <c r="F43" s="573">
        <v>0</v>
      </c>
      <c r="G43" s="573">
        <v>0</v>
      </c>
      <c r="H43" s="574"/>
      <c r="I43" s="573">
        <v>0</v>
      </c>
      <c r="J43" s="573">
        <v>0</v>
      </c>
      <c r="K43" s="575"/>
      <c r="L43" s="576"/>
    </row>
    <row r="44" spans="1:12" s="564" customFormat="1" ht="15.75" customHeight="1" thickBot="1">
      <c r="A44" s="650" t="s">
        <v>12</v>
      </c>
      <c r="B44" s="651"/>
      <c r="C44" s="652" t="s">
        <v>13</v>
      </c>
      <c r="D44" s="652"/>
      <c r="E44" s="653">
        <f t="shared" ref="E44:J44" si="18">SUM(E45)</f>
        <v>1474</v>
      </c>
      <c r="F44" s="653">
        <f t="shared" si="18"/>
        <v>1474</v>
      </c>
      <c r="G44" s="653">
        <f t="shared" si="18"/>
        <v>1526</v>
      </c>
      <c r="H44" s="654">
        <f t="shared" si="12"/>
        <v>1.0352781546811398</v>
      </c>
      <c r="I44" s="653">
        <f t="shared" si="18"/>
        <v>0</v>
      </c>
      <c r="J44" s="653">
        <f t="shared" si="18"/>
        <v>1526</v>
      </c>
      <c r="K44" s="655"/>
      <c r="L44" s="643">
        <f t="shared" si="1"/>
        <v>1.0352781546811398</v>
      </c>
    </row>
    <row r="45" spans="1:12" ht="15" customHeight="1" thickBot="1">
      <c r="A45" s="3432"/>
      <c r="B45" s="613" t="s">
        <v>14</v>
      </c>
      <c r="C45" s="516" t="s">
        <v>11</v>
      </c>
      <c r="D45" s="517"/>
      <c r="E45" s="656">
        <f>SUM(E48,E46)</f>
        <v>1474</v>
      </c>
      <c r="F45" s="656">
        <f>SUM(F48,F46)</f>
        <v>1474</v>
      </c>
      <c r="G45" s="656">
        <f>SUM(G48,G46)</f>
        <v>1526</v>
      </c>
      <c r="H45" s="657">
        <f t="shared" si="12"/>
        <v>1.0352781546811398</v>
      </c>
      <c r="I45" s="656">
        <f>SUM(I48,I46)</f>
        <v>0</v>
      </c>
      <c r="J45" s="656">
        <f>SUM(J48,J46)</f>
        <v>1526</v>
      </c>
      <c r="K45" s="658"/>
      <c r="L45" s="553">
        <f t="shared" si="1"/>
        <v>1.0352781546811398</v>
      </c>
    </row>
    <row r="46" spans="1:12">
      <c r="A46" s="3433"/>
      <c r="B46" s="3372" t="s">
        <v>338</v>
      </c>
      <c r="C46" s="3435"/>
      <c r="D46" s="659"/>
      <c r="E46" s="660">
        <f>SUM(E47)</f>
        <v>1474</v>
      </c>
      <c r="F46" s="660">
        <f>SUM(F47)</f>
        <v>1474</v>
      </c>
      <c r="G46" s="660">
        <f>SUM(G47)</f>
        <v>1526</v>
      </c>
      <c r="H46" s="661">
        <f t="shared" si="12"/>
        <v>1.0352781546811398</v>
      </c>
      <c r="I46" s="660">
        <f>SUM(I47)</f>
        <v>0</v>
      </c>
      <c r="J46" s="660">
        <f>SUM(J47)</f>
        <v>1526</v>
      </c>
      <c r="K46" s="662"/>
      <c r="L46" s="556">
        <f t="shared" si="1"/>
        <v>1.0352781546811398</v>
      </c>
    </row>
    <row r="47" spans="1:12" ht="42.75" customHeight="1">
      <c r="A47" s="3433"/>
      <c r="B47" s="663"/>
      <c r="C47" s="664" t="s">
        <v>371</v>
      </c>
      <c r="D47" s="665">
        <v>2360</v>
      </c>
      <c r="E47" s="529">
        <v>1474</v>
      </c>
      <c r="F47" s="529">
        <v>1474</v>
      </c>
      <c r="G47" s="529">
        <v>1526</v>
      </c>
      <c r="H47" s="666">
        <f t="shared" si="12"/>
        <v>1.0352781546811398</v>
      </c>
      <c r="I47" s="667">
        <v>0</v>
      </c>
      <c r="J47" s="531">
        <f t="shared" ref="J47" si="19">SUM(G47,I47)</f>
        <v>1526</v>
      </c>
      <c r="K47" s="668"/>
      <c r="L47" s="533">
        <f t="shared" si="1"/>
        <v>1.0352781546811398</v>
      </c>
    </row>
    <row r="48" spans="1:12" ht="15.75" thickBot="1">
      <c r="A48" s="3434"/>
      <c r="B48" s="3365" t="s">
        <v>372</v>
      </c>
      <c r="C48" s="3366"/>
      <c r="D48" s="572"/>
      <c r="E48" s="605">
        <v>0</v>
      </c>
      <c r="F48" s="605">
        <v>0</v>
      </c>
      <c r="G48" s="605">
        <v>0</v>
      </c>
      <c r="H48" s="669"/>
      <c r="I48" s="605">
        <v>0</v>
      </c>
      <c r="J48" s="605">
        <v>0</v>
      </c>
      <c r="K48" s="670"/>
      <c r="L48" s="576"/>
    </row>
    <row r="49" spans="1:12" s="564" customFormat="1" ht="17.25" hidden="1" customHeight="1" thickBot="1">
      <c r="A49" s="650" t="s">
        <v>373</v>
      </c>
      <c r="B49" s="671"/>
      <c r="C49" s="672" t="s">
        <v>374</v>
      </c>
      <c r="D49" s="672"/>
      <c r="E49" s="509">
        <f t="shared" ref="E49:J49" si="20">E50</f>
        <v>0</v>
      </c>
      <c r="F49" s="509">
        <f t="shared" si="20"/>
        <v>243859</v>
      </c>
      <c r="G49" s="509">
        <f t="shared" si="20"/>
        <v>0</v>
      </c>
      <c r="H49" s="510"/>
      <c r="I49" s="509">
        <f t="shared" si="20"/>
        <v>0</v>
      </c>
      <c r="J49" s="509">
        <f t="shared" si="20"/>
        <v>0</v>
      </c>
      <c r="K49" s="642"/>
      <c r="L49" s="643">
        <f t="shared" si="1"/>
        <v>0</v>
      </c>
    </row>
    <row r="50" spans="1:12" ht="13.5" hidden="1" customHeight="1" thickBot="1">
      <c r="A50" s="3436"/>
      <c r="B50" s="613" t="s">
        <v>375</v>
      </c>
      <c r="C50" s="517" t="s">
        <v>376</v>
      </c>
      <c r="D50" s="516"/>
      <c r="E50" s="673">
        <f>E51+E56</f>
        <v>0</v>
      </c>
      <c r="F50" s="656">
        <f>F51+F56</f>
        <v>243859</v>
      </c>
      <c r="G50" s="673">
        <f>G51+G56</f>
        <v>0</v>
      </c>
      <c r="H50" s="657"/>
      <c r="I50" s="656">
        <f>I51+I56</f>
        <v>0</v>
      </c>
      <c r="J50" s="674">
        <f>J51+J56</f>
        <v>0</v>
      </c>
      <c r="K50" s="658"/>
      <c r="L50" s="553">
        <f t="shared" si="1"/>
        <v>0</v>
      </c>
    </row>
    <row r="51" spans="1:12" ht="16.5" hidden="1" customHeight="1">
      <c r="A51" s="3437"/>
      <c r="B51" s="3372" t="s">
        <v>338</v>
      </c>
      <c r="C51" s="3438"/>
      <c r="D51" s="675"/>
      <c r="E51" s="676">
        <f>SUM(E52:E55)</f>
        <v>0</v>
      </c>
      <c r="F51" s="677">
        <f>SUM(F52:F55)</f>
        <v>225000</v>
      </c>
      <c r="G51" s="676">
        <f>SUM(G52:G55)</f>
        <v>0</v>
      </c>
      <c r="H51" s="678"/>
      <c r="I51" s="660">
        <f>SUM(I52:I55)</f>
        <v>0</v>
      </c>
      <c r="J51" s="679">
        <f>SUM(J52:J55)</f>
        <v>0</v>
      </c>
      <c r="K51" s="680"/>
      <c r="L51" s="556">
        <f t="shared" si="1"/>
        <v>0</v>
      </c>
    </row>
    <row r="52" spans="1:12" ht="53.25" hidden="1" customHeight="1" thickBot="1">
      <c r="A52" s="3437"/>
      <c r="B52" s="681"/>
      <c r="C52" s="682" t="s">
        <v>377</v>
      </c>
      <c r="D52" s="683" t="s">
        <v>378</v>
      </c>
      <c r="E52" s="684">
        <v>0</v>
      </c>
      <c r="F52" s="535">
        <v>0</v>
      </c>
      <c r="G52" s="684">
        <v>0</v>
      </c>
      <c r="H52" s="530"/>
      <c r="I52" s="531"/>
      <c r="J52" s="531"/>
      <c r="K52" s="532"/>
      <c r="L52" s="563" t="e">
        <f t="shared" si="1"/>
        <v>#DIV/0!</v>
      </c>
    </row>
    <row r="53" spans="1:12" ht="53.25" hidden="1" customHeight="1">
      <c r="A53" s="3437"/>
      <c r="B53" s="565"/>
      <c r="C53" s="682" t="s">
        <v>379</v>
      </c>
      <c r="D53" s="683">
        <v>2919</v>
      </c>
      <c r="E53" s="684">
        <v>0</v>
      </c>
      <c r="F53" s="535">
        <v>0</v>
      </c>
      <c r="G53" s="684">
        <v>0</v>
      </c>
      <c r="H53" s="530"/>
      <c r="I53" s="531"/>
      <c r="J53" s="531"/>
      <c r="K53" s="532"/>
      <c r="L53" s="563" t="e">
        <f t="shared" si="1"/>
        <v>#DIV/0!</v>
      </c>
    </row>
    <row r="54" spans="1:12" ht="53.25" hidden="1" customHeight="1">
      <c r="A54" s="3437"/>
      <c r="B54" s="565"/>
      <c r="C54" s="682" t="s">
        <v>380</v>
      </c>
      <c r="D54" s="683">
        <v>2957</v>
      </c>
      <c r="E54" s="684">
        <v>0</v>
      </c>
      <c r="F54" s="535">
        <v>225000</v>
      </c>
      <c r="G54" s="684">
        <v>0</v>
      </c>
      <c r="H54" s="530"/>
      <c r="I54" s="531">
        <v>0</v>
      </c>
      <c r="J54" s="531">
        <f t="shared" ref="J54" si="21">SUM(G54,I54)</f>
        <v>0</v>
      </c>
      <c r="K54" s="532"/>
      <c r="L54" s="533">
        <f t="shared" si="1"/>
        <v>0</v>
      </c>
    </row>
    <row r="55" spans="1:12" ht="63.75" hidden="1" customHeight="1">
      <c r="A55" s="3437"/>
      <c r="B55" s="685"/>
      <c r="C55" s="686" t="s">
        <v>381</v>
      </c>
      <c r="D55" s="683">
        <v>6660</v>
      </c>
      <c r="E55" s="684">
        <v>0</v>
      </c>
      <c r="F55" s="535">
        <v>0</v>
      </c>
      <c r="G55" s="684">
        <v>0</v>
      </c>
      <c r="H55" s="687"/>
      <c r="I55" s="688"/>
      <c r="J55" s="689"/>
      <c r="K55" s="687"/>
      <c r="L55" s="563" t="e">
        <f t="shared" si="1"/>
        <v>#DIV/0!</v>
      </c>
    </row>
    <row r="56" spans="1:12" ht="14.25" hidden="1" customHeight="1">
      <c r="A56" s="3437"/>
      <c r="B56" s="3439" t="s">
        <v>382</v>
      </c>
      <c r="C56" s="3440"/>
      <c r="D56" s="690"/>
      <c r="E56" s="691">
        <f>E57</f>
        <v>0</v>
      </c>
      <c r="F56" s="538">
        <f t="shared" ref="F56:J56" si="22">F57</f>
        <v>18859</v>
      </c>
      <c r="G56" s="691">
        <f t="shared" si="22"/>
        <v>0</v>
      </c>
      <c r="H56" s="539"/>
      <c r="I56" s="538">
        <f t="shared" si="22"/>
        <v>0</v>
      </c>
      <c r="J56" s="692">
        <f t="shared" si="22"/>
        <v>0</v>
      </c>
      <c r="K56" s="540"/>
      <c r="L56" s="693">
        <f t="shared" si="1"/>
        <v>0</v>
      </c>
    </row>
    <row r="57" spans="1:12" ht="65.25" hidden="1" customHeight="1" thickBot="1">
      <c r="A57" s="3437"/>
      <c r="B57" s="694"/>
      <c r="C57" s="695" t="s">
        <v>383</v>
      </c>
      <c r="D57" s="696">
        <v>6669</v>
      </c>
      <c r="E57" s="697">
        <v>0</v>
      </c>
      <c r="F57" s="698">
        <v>18859</v>
      </c>
      <c r="G57" s="697">
        <v>0</v>
      </c>
      <c r="H57" s="699"/>
      <c r="I57" s="700">
        <v>0</v>
      </c>
      <c r="J57" s="531">
        <f t="shared" ref="J57" si="23">SUM(G57,I57)</f>
        <v>0</v>
      </c>
      <c r="K57" s="701"/>
      <c r="L57" s="533">
        <f t="shared" si="1"/>
        <v>0</v>
      </c>
    </row>
    <row r="58" spans="1:12" ht="15.75" hidden="1" thickBot="1">
      <c r="A58" s="522"/>
      <c r="B58" s="702" t="s">
        <v>384</v>
      </c>
      <c r="C58" s="703" t="s">
        <v>385</v>
      </c>
      <c r="D58" s="704"/>
      <c r="E58" s="705">
        <f>E59+E64</f>
        <v>0</v>
      </c>
      <c r="F58" s="705">
        <f>F59+F64</f>
        <v>0</v>
      </c>
      <c r="G58" s="705">
        <f>G59+G64</f>
        <v>0</v>
      </c>
      <c r="H58" s="706" t="e">
        <f t="shared" ref="H58:H64" si="24">G58/F58</f>
        <v>#DIV/0!</v>
      </c>
      <c r="I58" s="707"/>
      <c r="J58" s="707"/>
      <c r="K58" s="708"/>
      <c r="L58" s="563" t="e">
        <f t="shared" si="1"/>
        <v>#DIV/0!</v>
      </c>
    </row>
    <row r="59" spans="1:12" ht="15.75" hidden="1" thickBot="1">
      <c r="A59" s="522"/>
      <c r="B59" s="3427" t="s">
        <v>338</v>
      </c>
      <c r="C59" s="3428"/>
      <c r="D59" s="709"/>
      <c r="E59" s="710">
        <f>SUM(E60:E63)</f>
        <v>0</v>
      </c>
      <c r="F59" s="710">
        <f>SUM(F60:F63)</f>
        <v>0</v>
      </c>
      <c r="G59" s="710">
        <f>SUM(G60:G63)</f>
        <v>0</v>
      </c>
      <c r="H59" s="711" t="e">
        <f t="shared" si="24"/>
        <v>#DIV/0!</v>
      </c>
      <c r="I59" s="712"/>
      <c r="J59" s="712"/>
      <c r="K59" s="708"/>
      <c r="L59" s="563" t="e">
        <f t="shared" si="1"/>
        <v>#DIV/0!</v>
      </c>
    </row>
    <row r="60" spans="1:12" ht="51.75" hidden="1" thickBot="1">
      <c r="A60" s="522"/>
      <c r="B60" s="713"/>
      <c r="C60" s="714" t="s">
        <v>377</v>
      </c>
      <c r="D60" s="715" t="s">
        <v>378</v>
      </c>
      <c r="E60" s="716">
        <v>0</v>
      </c>
      <c r="F60" s="716">
        <v>0</v>
      </c>
      <c r="G60" s="716">
        <v>0</v>
      </c>
      <c r="H60" s="717" t="e">
        <f t="shared" si="24"/>
        <v>#DIV/0!</v>
      </c>
      <c r="I60" s="547"/>
      <c r="J60" s="547"/>
      <c r="K60" s="708"/>
      <c r="L60" s="563" t="e">
        <f t="shared" si="1"/>
        <v>#DIV/0!</v>
      </c>
    </row>
    <row r="61" spans="1:12" ht="51.75" hidden="1" thickBot="1">
      <c r="A61" s="522"/>
      <c r="B61" s="718"/>
      <c r="C61" s="714" t="s">
        <v>379</v>
      </c>
      <c r="D61" s="715">
        <v>2919</v>
      </c>
      <c r="E61" s="716">
        <v>0</v>
      </c>
      <c r="F61" s="716">
        <v>0</v>
      </c>
      <c r="G61" s="716">
        <v>0</v>
      </c>
      <c r="H61" s="717" t="e">
        <f t="shared" si="24"/>
        <v>#DIV/0!</v>
      </c>
      <c r="I61" s="547"/>
      <c r="J61" s="547"/>
      <c r="K61" s="708"/>
      <c r="L61" s="563" t="e">
        <f t="shared" si="1"/>
        <v>#DIV/0!</v>
      </c>
    </row>
    <row r="62" spans="1:12" ht="14.25" hidden="1" customHeight="1">
      <c r="A62" s="522"/>
      <c r="B62" s="718"/>
      <c r="C62" s="714" t="s">
        <v>380</v>
      </c>
      <c r="D62" s="715">
        <v>2957</v>
      </c>
      <c r="E62" s="716">
        <v>0</v>
      </c>
      <c r="F62" s="716">
        <v>0</v>
      </c>
      <c r="G62" s="716">
        <v>0</v>
      </c>
      <c r="H62" s="717" t="e">
        <f t="shared" si="24"/>
        <v>#DIV/0!</v>
      </c>
      <c r="I62" s="547"/>
      <c r="J62" s="547"/>
      <c r="K62" s="708"/>
      <c r="L62" s="563" t="e">
        <f t="shared" si="1"/>
        <v>#DIV/0!</v>
      </c>
    </row>
    <row r="63" spans="1:12" ht="15.75" hidden="1" customHeight="1">
      <c r="A63" s="522"/>
      <c r="B63" s="719"/>
      <c r="C63" s="720" t="s">
        <v>381</v>
      </c>
      <c r="D63" s="715">
        <v>6660</v>
      </c>
      <c r="E63" s="716">
        <v>0</v>
      </c>
      <c r="F63" s="716">
        <v>0</v>
      </c>
      <c r="G63" s="716">
        <v>0</v>
      </c>
      <c r="H63" s="717" t="e">
        <f t="shared" si="24"/>
        <v>#DIV/0!</v>
      </c>
      <c r="I63" s="547"/>
      <c r="J63" s="547"/>
      <c r="K63" s="708"/>
      <c r="L63" s="563" t="e">
        <f t="shared" si="1"/>
        <v>#DIV/0!</v>
      </c>
    </row>
    <row r="64" spans="1:12" ht="15.75" hidden="1" thickBot="1">
      <c r="A64" s="522"/>
      <c r="B64" s="3427" t="s">
        <v>382</v>
      </c>
      <c r="C64" s="3429"/>
      <c r="D64" s="618"/>
      <c r="E64" s="721">
        <f>E65</f>
        <v>0</v>
      </c>
      <c r="F64" s="721">
        <f t="shared" ref="F64:G64" si="25">F65</f>
        <v>0</v>
      </c>
      <c r="G64" s="721">
        <f t="shared" si="25"/>
        <v>0</v>
      </c>
      <c r="H64" s="722" t="e">
        <f t="shared" si="24"/>
        <v>#DIV/0!</v>
      </c>
      <c r="I64" s="712"/>
      <c r="J64" s="712"/>
      <c r="K64" s="708"/>
      <c r="L64" s="563" t="e">
        <f t="shared" si="1"/>
        <v>#DIV/0!</v>
      </c>
    </row>
    <row r="65" spans="1:12" ht="15.75" hidden="1" thickBot="1">
      <c r="A65" s="582"/>
      <c r="B65" s="723"/>
      <c r="C65" s="724"/>
      <c r="D65" s="725"/>
      <c r="E65" s="594"/>
      <c r="F65" s="594"/>
      <c r="G65" s="594"/>
      <c r="H65" s="726"/>
      <c r="I65" s="547"/>
      <c r="J65" s="547"/>
      <c r="K65" s="708"/>
      <c r="L65" s="549" t="e">
        <f t="shared" si="1"/>
        <v>#DIV/0!</v>
      </c>
    </row>
    <row r="66" spans="1:12" ht="15.75" customHeight="1" thickBot="1">
      <c r="A66" s="727">
        <v>600</v>
      </c>
      <c r="B66" s="728"/>
      <c r="C66" s="729" t="s">
        <v>8</v>
      </c>
      <c r="D66" s="730"/>
      <c r="E66" s="509">
        <f>SUM(E67,E87,E93,E98,E123,E81,E119)</f>
        <v>157254659</v>
      </c>
      <c r="F66" s="731">
        <f>SUM(F67,F87,F93,F98,F123,F81,F119)</f>
        <v>225052517</v>
      </c>
      <c r="G66" s="509">
        <f>SUM(G67,G87,G93,G98,G123,G81,G119)</f>
        <v>228155969</v>
      </c>
      <c r="H66" s="732">
        <f t="shared" ref="H66:H77" si="26">G66/E66</f>
        <v>1.4508693761499301</v>
      </c>
      <c r="I66" s="509">
        <f>SUM(I67,I87,I93,I98,I123,I81,I119)</f>
        <v>5712374</v>
      </c>
      <c r="J66" s="509">
        <f>SUM(J67,J87,J93,J98,J123,J81,J119)</f>
        <v>233868343</v>
      </c>
      <c r="K66" s="733"/>
      <c r="L66" s="643">
        <f t="shared" si="1"/>
        <v>1.0391723057245346</v>
      </c>
    </row>
    <row r="67" spans="1:12" ht="15" customHeight="1" thickBot="1">
      <c r="A67" s="734"/>
      <c r="B67" s="735">
        <v>60001</v>
      </c>
      <c r="C67" s="736" t="s">
        <v>386</v>
      </c>
      <c r="D67" s="737"/>
      <c r="E67" s="518">
        <f>SUM(E68,E78)</f>
        <v>64959829</v>
      </c>
      <c r="F67" s="518">
        <f>SUM(F68,F78)</f>
        <v>68105245</v>
      </c>
      <c r="G67" s="518">
        <f>SUM(G68,G78)</f>
        <v>37265926</v>
      </c>
      <c r="H67" s="616">
        <f t="shared" si="26"/>
        <v>0.57367647935156973</v>
      </c>
      <c r="I67" s="518">
        <f>SUM(I68,I78)</f>
        <v>-4821047</v>
      </c>
      <c r="J67" s="518">
        <f>SUM(J68,J78)</f>
        <v>32444879</v>
      </c>
      <c r="K67" s="738"/>
      <c r="L67" s="553">
        <f t="shared" si="1"/>
        <v>0.47639324988846304</v>
      </c>
    </row>
    <row r="68" spans="1:12">
      <c r="A68" s="739"/>
      <c r="B68" s="3355" t="s">
        <v>338</v>
      </c>
      <c r="C68" s="3357"/>
      <c r="D68" s="740"/>
      <c r="E68" s="555">
        <f>SUM(E69:E77)</f>
        <v>64959829</v>
      </c>
      <c r="F68" s="555">
        <f>SUM(F69:F77)</f>
        <v>68105245</v>
      </c>
      <c r="G68" s="555">
        <f>SUM(G69:G77)</f>
        <v>34265926</v>
      </c>
      <c r="H68" s="741">
        <f t="shared" si="26"/>
        <v>0.52749409177170092</v>
      </c>
      <c r="I68" s="555">
        <f>SUM(I69:I77)</f>
        <v>-4821047</v>
      </c>
      <c r="J68" s="555">
        <f>SUM(J69:J77)</f>
        <v>29444879</v>
      </c>
      <c r="K68" s="742"/>
      <c r="L68" s="556">
        <f t="shared" si="1"/>
        <v>0.4323437791024759</v>
      </c>
    </row>
    <row r="69" spans="1:12">
      <c r="A69" s="739"/>
      <c r="B69" s="743"/>
      <c r="C69" s="744" t="s">
        <v>387</v>
      </c>
      <c r="D69" s="745" t="s">
        <v>340</v>
      </c>
      <c r="E69" s="625">
        <v>21478029</v>
      </c>
      <c r="F69" s="625">
        <v>21478029</v>
      </c>
      <c r="G69" s="625">
        <v>26417976</v>
      </c>
      <c r="H69" s="746">
        <f t="shared" si="26"/>
        <v>1.2300000153645383</v>
      </c>
      <c r="I69" s="747">
        <v>-4939947</v>
      </c>
      <c r="J69" s="531">
        <f t="shared" ref="J69:J71" si="27">SUM(G69,I69)</f>
        <v>21478029</v>
      </c>
      <c r="K69" s="596"/>
      <c r="L69" s="533">
        <f t="shared" si="1"/>
        <v>1</v>
      </c>
    </row>
    <row r="70" spans="1:12" ht="17.25" hidden="1" customHeight="1">
      <c r="A70" s="739"/>
      <c r="B70" s="743"/>
      <c r="C70" s="3430" t="s">
        <v>388</v>
      </c>
      <c r="D70" s="748" t="s">
        <v>362</v>
      </c>
      <c r="E70" s="535">
        <v>0</v>
      </c>
      <c r="F70" s="535">
        <v>35718862</v>
      </c>
      <c r="G70" s="535">
        <v>0</v>
      </c>
      <c r="H70" s="629"/>
      <c r="I70" s="647">
        <v>0</v>
      </c>
      <c r="J70" s="531">
        <f t="shared" si="27"/>
        <v>0</v>
      </c>
      <c r="K70" s="603"/>
      <c r="L70" s="533">
        <f t="shared" si="1"/>
        <v>0</v>
      </c>
    </row>
    <row r="71" spans="1:12" ht="17.25" hidden="1" customHeight="1">
      <c r="A71" s="739"/>
      <c r="B71" s="743"/>
      <c r="C71" s="3431"/>
      <c r="D71" s="745" t="s">
        <v>342</v>
      </c>
      <c r="E71" s="625">
        <v>36606800</v>
      </c>
      <c r="F71" s="625">
        <v>0</v>
      </c>
      <c r="G71" s="625">
        <v>0</v>
      </c>
      <c r="H71" s="746">
        <f t="shared" si="26"/>
        <v>0</v>
      </c>
      <c r="I71" s="747">
        <v>0</v>
      </c>
      <c r="J71" s="531">
        <f t="shared" si="27"/>
        <v>0</v>
      </c>
      <c r="K71" s="596"/>
      <c r="L71" s="533" t="e">
        <f t="shared" si="1"/>
        <v>#DIV/0!</v>
      </c>
    </row>
    <row r="72" spans="1:12" ht="26.25" hidden="1" customHeight="1">
      <c r="A72" s="739"/>
      <c r="B72" s="743"/>
      <c r="C72" s="749" t="s">
        <v>389</v>
      </c>
      <c r="D72" s="745" t="s">
        <v>349</v>
      </c>
      <c r="E72" s="625">
        <v>0</v>
      </c>
      <c r="F72" s="625">
        <v>0</v>
      </c>
      <c r="G72" s="625"/>
      <c r="H72" s="746" t="e">
        <f t="shared" si="26"/>
        <v>#DIV/0!</v>
      </c>
      <c r="I72" s="747"/>
      <c r="J72" s="747"/>
      <c r="K72" s="596"/>
      <c r="L72" s="533" t="e">
        <f t="shared" si="1"/>
        <v>#DIV/0!</v>
      </c>
    </row>
    <row r="73" spans="1:12" ht="41.25" hidden="1" customHeight="1">
      <c r="A73" s="739"/>
      <c r="B73" s="743"/>
      <c r="C73" s="750" t="s">
        <v>390</v>
      </c>
      <c r="D73" s="751" t="s">
        <v>275</v>
      </c>
      <c r="E73" s="535">
        <v>0</v>
      </c>
      <c r="F73" s="535">
        <v>60197</v>
      </c>
      <c r="G73" s="535">
        <v>0</v>
      </c>
      <c r="H73" s="629"/>
      <c r="I73" s="647">
        <v>0</v>
      </c>
      <c r="J73" s="531">
        <f t="shared" ref="J73:J76" si="28">SUM(G73,I73)</f>
        <v>0</v>
      </c>
      <c r="K73" s="603"/>
      <c r="L73" s="533">
        <f t="shared" si="1"/>
        <v>0</v>
      </c>
    </row>
    <row r="74" spans="1:12" ht="42" customHeight="1">
      <c r="A74" s="739"/>
      <c r="B74" s="743"/>
      <c r="C74" s="752" t="s">
        <v>391</v>
      </c>
      <c r="D74" s="753" t="s">
        <v>392</v>
      </c>
      <c r="E74" s="560">
        <v>6875000</v>
      </c>
      <c r="F74" s="560">
        <v>6875000</v>
      </c>
      <c r="G74" s="560">
        <v>3875000</v>
      </c>
      <c r="H74" s="754">
        <f t="shared" si="26"/>
        <v>0.5636363636363636</v>
      </c>
      <c r="I74" s="755">
        <v>0</v>
      </c>
      <c r="J74" s="756">
        <f t="shared" si="28"/>
        <v>3875000</v>
      </c>
      <c r="K74" s="757"/>
      <c r="L74" s="758">
        <f t="shared" si="1"/>
        <v>0.5636363636363636</v>
      </c>
    </row>
    <row r="75" spans="1:12" ht="43.5" customHeight="1">
      <c r="A75" s="739"/>
      <c r="B75" s="743"/>
      <c r="C75" s="759" t="s">
        <v>393</v>
      </c>
      <c r="D75" s="760" t="s">
        <v>394</v>
      </c>
      <c r="E75" s="634">
        <v>0</v>
      </c>
      <c r="F75" s="634">
        <v>3972950</v>
      </c>
      <c r="G75" s="634">
        <v>3972950</v>
      </c>
      <c r="H75" s="761"/>
      <c r="I75" s="762">
        <v>118900</v>
      </c>
      <c r="J75" s="531">
        <f t="shared" si="28"/>
        <v>4091850</v>
      </c>
      <c r="K75" s="636"/>
      <c r="L75" s="533">
        <f t="shared" ref="L75:L138" si="29">J75/F75</f>
        <v>1.0299273839338527</v>
      </c>
    </row>
    <row r="76" spans="1:12" ht="42" hidden="1" customHeight="1" thickBot="1">
      <c r="A76" s="763"/>
      <c r="B76" s="764"/>
      <c r="C76" s="765" t="s">
        <v>395</v>
      </c>
      <c r="D76" s="766" t="s">
        <v>396</v>
      </c>
      <c r="E76" s="698">
        <v>0</v>
      </c>
      <c r="F76" s="698">
        <v>207</v>
      </c>
      <c r="G76" s="698">
        <v>0</v>
      </c>
      <c r="H76" s="767"/>
      <c r="I76" s="768">
        <v>0</v>
      </c>
      <c r="J76" s="700">
        <f t="shared" si="28"/>
        <v>0</v>
      </c>
      <c r="K76" s="769"/>
      <c r="L76" s="770">
        <f t="shared" si="29"/>
        <v>0</v>
      </c>
    </row>
    <row r="77" spans="1:12" ht="54" hidden="1" customHeight="1">
      <c r="A77" s="739"/>
      <c r="B77" s="743"/>
      <c r="C77" s="752" t="s">
        <v>397</v>
      </c>
      <c r="D77" s="771" t="s">
        <v>396</v>
      </c>
      <c r="E77" s="560">
        <v>0</v>
      </c>
      <c r="F77" s="560">
        <v>0</v>
      </c>
      <c r="G77" s="560"/>
      <c r="H77" s="754" t="e">
        <f t="shared" si="26"/>
        <v>#DIV/0!</v>
      </c>
      <c r="I77" s="755"/>
      <c r="J77" s="755"/>
      <c r="K77" s="757"/>
      <c r="L77" s="772" t="e">
        <f t="shared" si="29"/>
        <v>#DIV/0!</v>
      </c>
    </row>
    <row r="78" spans="1:12">
      <c r="A78" s="739"/>
      <c r="B78" s="3380" t="s">
        <v>382</v>
      </c>
      <c r="C78" s="3405"/>
      <c r="D78" s="773"/>
      <c r="E78" s="538">
        <f>E79+E80</f>
        <v>0</v>
      </c>
      <c r="F78" s="538">
        <f t="shared" ref="F78:J78" si="30">F79+F80</f>
        <v>0</v>
      </c>
      <c r="G78" s="538">
        <f t="shared" si="30"/>
        <v>3000000</v>
      </c>
      <c r="H78" s="620"/>
      <c r="I78" s="538">
        <f t="shared" si="30"/>
        <v>0</v>
      </c>
      <c r="J78" s="538">
        <f t="shared" si="30"/>
        <v>3000000</v>
      </c>
      <c r="K78" s="621"/>
      <c r="L78" s="541"/>
    </row>
    <row r="79" spans="1:12" ht="10.5" hidden="1" customHeight="1" thickBot="1">
      <c r="A79" s="739"/>
      <c r="B79" s="774"/>
      <c r="C79" s="543" t="s">
        <v>398</v>
      </c>
      <c r="D79" s="775">
        <v>6257</v>
      </c>
      <c r="E79" s="587">
        <v>0</v>
      </c>
      <c r="F79" s="587">
        <v>0</v>
      </c>
      <c r="G79" s="587">
        <v>0</v>
      </c>
      <c r="H79" s="588"/>
      <c r="I79" s="589"/>
      <c r="J79" s="589"/>
      <c r="K79" s="590"/>
      <c r="L79" s="563" t="e">
        <f t="shared" si="29"/>
        <v>#DIV/0!</v>
      </c>
    </row>
    <row r="80" spans="1:12" ht="42.75" customHeight="1" thickBot="1">
      <c r="A80" s="739"/>
      <c r="B80" s="776"/>
      <c r="C80" s="759" t="s">
        <v>399</v>
      </c>
      <c r="D80" s="777">
        <v>6350</v>
      </c>
      <c r="E80" s="586">
        <v>0</v>
      </c>
      <c r="F80" s="586">
        <v>0</v>
      </c>
      <c r="G80" s="778">
        <v>3000000</v>
      </c>
      <c r="H80" s="588"/>
      <c r="I80" s="779">
        <v>0</v>
      </c>
      <c r="J80" s="531">
        <f t="shared" ref="J80" si="31">SUM(G80,I80)</f>
        <v>3000000</v>
      </c>
      <c r="K80" s="590"/>
      <c r="L80" s="780"/>
    </row>
    <row r="81" spans="1:12" ht="31.5" customHeight="1" thickBot="1">
      <c r="A81" s="739"/>
      <c r="B81" s="735">
        <v>60002</v>
      </c>
      <c r="C81" s="736" t="s">
        <v>400</v>
      </c>
      <c r="D81" s="737"/>
      <c r="E81" s="656">
        <f>E82+E84</f>
        <v>16474640</v>
      </c>
      <c r="F81" s="656">
        <f>F82+F84</f>
        <v>48339444</v>
      </c>
      <c r="G81" s="656">
        <f>G82+G84</f>
        <v>22286635</v>
      </c>
      <c r="H81" s="781">
        <f t="shared" ref="H81:H118" si="32">G81/E81</f>
        <v>1.3527843400523472</v>
      </c>
      <c r="I81" s="656">
        <f>I82+I84</f>
        <v>0</v>
      </c>
      <c r="J81" s="656">
        <f>J82+J84</f>
        <v>22286635</v>
      </c>
      <c r="K81" s="617"/>
      <c r="L81" s="553">
        <f t="shared" si="29"/>
        <v>0.46104450435962813</v>
      </c>
    </row>
    <row r="82" spans="1:12">
      <c r="A82" s="739"/>
      <c r="B82" s="3355" t="s">
        <v>401</v>
      </c>
      <c r="C82" s="3357"/>
      <c r="D82" s="740"/>
      <c r="E82" s="555">
        <f>SUM(E83)</f>
        <v>0</v>
      </c>
      <c r="F82" s="555">
        <f t="shared" ref="F82:J82" si="33">SUM(F83)</f>
        <v>729000</v>
      </c>
      <c r="G82" s="555">
        <f t="shared" si="33"/>
        <v>0</v>
      </c>
      <c r="H82" s="782"/>
      <c r="I82" s="555">
        <f t="shared" si="33"/>
        <v>0</v>
      </c>
      <c r="J82" s="555">
        <f t="shared" si="33"/>
        <v>0</v>
      </c>
      <c r="K82" s="783"/>
      <c r="L82" s="556">
        <f t="shared" si="29"/>
        <v>0</v>
      </c>
    </row>
    <row r="83" spans="1:12" ht="42" hidden="1" customHeight="1">
      <c r="A83" s="739"/>
      <c r="B83" s="743"/>
      <c r="C83" s="759" t="s">
        <v>393</v>
      </c>
      <c r="D83" s="760" t="s">
        <v>394</v>
      </c>
      <c r="E83" s="634">
        <v>0</v>
      </c>
      <c r="F83" s="634">
        <v>729000</v>
      </c>
      <c r="G83" s="634">
        <v>0</v>
      </c>
      <c r="H83" s="761"/>
      <c r="I83" s="762">
        <v>0</v>
      </c>
      <c r="J83" s="531">
        <f t="shared" ref="J83:J86" si="34">SUM(G83,I83)</f>
        <v>0</v>
      </c>
      <c r="K83" s="636"/>
      <c r="L83" s="533">
        <f t="shared" si="29"/>
        <v>0</v>
      </c>
    </row>
    <row r="84" spans="1:12">
      <c r="A84" s="739"/>
      <c r="B84" s="3380" t="s">
        <v>382</v>
      </c>
      <c r="C84" s="3423"/>
      <c r="D84" s="773"/>
      <c r="E84" s="538">
        <f>SUM(E85:E86)</f>
        <v>16474640</v>
      </c>
      <c r="F84" s="538">
        <f t="shared" ref="F84:J84" si="35">SUM(F85:F86)</f>
        <v>47610444</v>
      </c>
      <c r="G84" s="538">
        <f t="shared" si="35"/>
        <v>22286635</v>
      </c>
      <c r="H84" s="784">
        <f t="shared" si="32"/>
        <v>1.3527843400523472</v>
      </c>
      <c r="I84" s="538">
        <f t="shared" si="35"/>
        <v>0</v>
      </c>
      <c r="J84" s="538">
        <f t="shared" si="35"/>
        <v>22286635</v>
      </c>
      <c r="K84" s="785"/>
      <c r="L84" s="693">
        <f t="shared" si="29"/>
        <v>0.46810391014206881</v>
      </c>
    </row>
    <row r="85" spans="1:12" ht="63.75" hidden="1">
      <c r="A85" s="739"/>
      <c r="B85" s="3424"/>
      <c r="C85" s="786" t="s">
        <v>402</v>
      </c>
      <c r="D85" s="787">
        <v>6207</v>
      </c>
      <c r="E85" s="634">
        <v>0</v>
      </c>
      <c r="F85" s="634">
        <v>45305669</v>
      </c>
      <c r="G85" s="634">
        <v>0</v>
      </c>
      <c r="H85" s="629"/>
      <c r="I85" s="647">
        <v>0</v>
      </c>
      <c r="J85" s="531">
        <f t="shared" si="34"/>
        <v>0</v>
      </c>
      <c r="K85" s="603"/>
      <c r="L85" s="533">
        <f t="shared" si="29"/>
        <v>0</v>
      </c>
    </row>
    <row r="86" spans="1:12" ht="56.25" customHeight="1" thickBot="1">
      <c r="A86" s="739"/>
      <c r="B86" s="3425"/>
      <c r="C86" s="788" t="s">
        <v>403</v>
      </c>
      <c r="D86" s="789">
        <v>6257</v>
      </c>
      <c r="E86" s="698">
        <v>16474640</v>
      </c>
      <c r="F86" s="698">
        <v>2304775</v>
      </c>
      <c r="G86" s="790">
        <v>22286635</v>
      </c>
      <c r="H86" s="767">
        <f t="shared" si="32"/>
        <v>1.3527843400523472</v>
      </c>
      <c r="I86" s="768">
        <v>0</v>
      </c>
      <c r="J86" s="531">
        <f t="shared" si="34"/>
        <v>22286635</v>
      </c>
      <c r="K86" s="769"/>
      <c r="L86" s="780">
        <f t="shared" si="29"/>
        <v>9.6697660292219414</v>
      </c>
    </row>
    <row r="87" spans="1:12" ht="18.75" customHeight="1" thickBot="1">
      <c r="A87" s="739"/>
      <c r="B87" s="735">
        <v>60003</v>
      </c>
      <c r="C87" s="737" t="s">
        <v>15</v>
      </c>
      <c r="D87" s="737"/>
      <c r="E87" s="518">
        <f>SUM(E88,E92)</f>
        <v>52750000</v>
      </c>
      <c r="F87" s="518">
        <f>SUM(F88,F92)</f>
        <v>52750000</v>
      </c>
      <c r="G87" s="518">
        <f>SUM(G88,G92)</f>
        <v>52750000</v>
      </c>
      <c r="H87" s="616">
        <f t="shared" si="32"/>
        <v>1</v>
      </c>
      <c r="I87" s="518">
        <f>SUM(I88,I92)</f>
        <v>-877000</v>
      </c>
      <c r="J87" s="518">
        <f>SUM(J88,J92)</f>
        <v>51873000</v>
      </c>
      <c r="K87" s="738"/>
      <c r="L87" s="553">
        <f t="shared" si="29"/>
        <v>0.98337440758293837</v>
      </c>
    </row>
    <row r="88" spans="1:12" ht="18" customHeight="1">
      <c r="A88" s="739"/>
      <c r="B88" s="3355" t="s">
        <v>338</v>
      </c>
      <c r="C88" s="3357"/>
      <c r="D88" s="791"/>
      <c r="E88" s="555">
        <f>SUM(E89:E91)</f>
        <v>52750000</v>
      </c>
      <c r="F88" s="555">
        <f>SUM(F89:F91)</f>
        <v>52750000</v>
      </c>
      <c r="G88" s="555">
        <f>SUM(G89:G91)</f>
        <v>52750000</v>
      </c>
      <c r="H88" s="741">
        <f t="shared" si="32"/>
        <v>1</v>
      </c>
      <c r="I88" s="555">
        <f>SUM(I89:I91)</f>
        <v>-877000</v>
      </c>
      <c r="J88" s="555">
        <f>SUM(J89:J91)</f>
        <v>51873000</v>
      </c>
      <c r="K88" s="742"/>
      <c r="L88" s="556">
        <f t="shared" si="29"/>
        <v>0.98337440758293837</v>
      </c>
    </row>
    <row r="89" spans="1:12" ht="45.75" customHeight="1">
      <c r="A89" s="739"/>
      <c r="B89" s="3370"/>
      <c r="C89" s="792" t="s">
        <v>363</v>
      </c>
      <c r="D89" s="793">
        <v>2210</v>
      </c>
      <c r="E89" s="625">
        <v>52750000</v>
      </c>
      <c r="F89" s="625">
        <v>52750000</v>
      </c>
      <c r="G89" s="625">
        <v>52750000</v>
      </c>
      <c r="H89" s="746">
        <f t="shared" si="32"/>
        <v>1</v>
      </c>
      <c r="I89" s="747">
        <v>-877000</v>
      </c>
      <c r="J89" s="531">
        <f t="shared" ref="J89" si="36">SUM(G89,I89)</f>
        <v>51873000</v>
      </c>
      <c r="K89" s="568" t="s">
        <v>404</v>
      </c>
      <c r="L89" s="533">
        <f t="shared" si="29"/>
        <v>0.98337440758293837</v>
      </c>
    </row>
    <row r="90" spans="1:12" ht="3" hidden="1" customHeight="1">
      <c r="A90" s="739"/>
      <c r="B90" s="3370"/>
      <c r="C90" s="794" t="s">
        <v>405</v>
      </c>
      <c r="D90" s="795" t="s">
        <v>359</v>
      </c>
      <c r="E90" s="535">
        <v>0</v>
      </c>
      <c r="F90" s="600">
        <v>0</v>
      </c>
      <c r="G90" s="535"/>
      <c r="H90" s="629" t="e">
        <f t="shared" si="32"/>
        <v>#DIV/0!</v>
      </c>
      <c r="I90" s="647"/>
      <c r="J90" s="647"/>
      <c r="K90" s="603"/>
      <c r="L90" s="563" t="e">
        <f t="shared" si="29"/>
        <v>#DIV/0!</v>
      </c>
    </row>
    <row r="91" spans="1:12" ht="3" hidden="1" customHeight="1">
      <c r="A91" s="739"/>
      <c r="B91" s="3371"/>
      <c r="C91" s="794" t="s">
        <v>406</v>
      </c>
      <c r="D91" s="795" t="s">
        <v>396</v>
      </c>
      <c r="E91" s="535">
        <v>0</v>
      </c>
      <c r="F91" s="600">
        <v>0</v>
      </c>
      <c r="G91" s="535"/>
      <c r="H91" s="629" t="e">
        <f t="shared" si="32"/>
        <v>#DIV/0!</v>
      </c>
      <c r="I91" s="647"/>
      <c r="J91" s="647"/>
      <c r="K91" s="603"/>
      <c r="L91" s="563" t="e">
        <f t="shared" si="29"/>
        <v>#DIV/0!</v>
      </c>
    </row>
    <row r="92" spans="1:12" ht="15.75" thickBot="1">
      <c r="A92" s="3421"/>
      <c r="B92" s="3359" t="s">
        <v>343</v>
      </c>
      <c r="C92" s="3426"/>
      <c r="D92" s="796"/>
      <c r="E92" s="573">
        <v>0</v>
      </c>
      <c r="F92" s="573">
        <v>0</v>
      </c>
      <c r="G92" s="573">
        <v>0</v>
      </c>
      <c r="H92" s="797"/>
      <c r="I92" s="573">
        <v>0</v>
      </c>
      <c r="J92" s="573">
        <v>0</v>
      </c>
      <c r="K92" s="798"/>
      <c r="L92" s="576"/>
    </row>
    <row r="93" spans="1:12" ht="15.75" thickBot="1">
      <c r="A93" s="3421"/>
      <c r="B93" s="735">
        <v>60004</v>
      </c>
      <c r="C93" s="736" t="s">
        <v>133</v>
      </c>
      <c r="D93" s="737"/>
      <c r="E93" s="656">
        <f>SUM(E94,E97)</f>
        <v>100000</v>
      </c>
      <c r="F93" s="656">
        <f t="shared" ref="F93:G93" si="37">SUM(F94,F97)</f>
        <v>100000</v>
      </c>
      <c r="G93" s="656">
        <f t="shared" si="37"/>
        <v>100000</v>
      </c>
      <c r="H93" s="616">
        <f t="shared" si="32"/>
        <v>1</v>
      </c>
      <c r="I93" s="656">
        <f t="shared" ref="I93:J93" si="38">SUM(I94,I97)</f>
        <v>0</v>
      </c>
      <c r="J93" s="656">
        <f t="shared" si="38"/>
        <v>100000</v>
      </c>
      <c r="K93" s="738"/>
      <c r="L93" s="553">
        <f t="shared" si="29"/>
        <v>1</v>
      </c>
    </row>
    <row r="94" spans="1:12">
      <c r="A94" s="739"/>
      <c r="B94" s="3418" t="s">
        <v>338</v>
      </c>
      <c r="C94" s="3419"/>
      <c r="D94" s="799"/>
      <c r="E94" s="524">
        <f>SUM(E95:E96)</f>
        <v>100000</v>
      </c>
      <c r="F94" s="524">
        <f t="shared" ref="F94:G94" si="39">SUM(F95:F96)</f>
        <v>100000</v>
      </c>
      <c r="G94" s="524">
        <f t="shared" si="39"/>
        <v>100000</v>
      </c>
      <c r="H94" s="800">
        <f t="shared" si="32"/>
        <v>1</v>
      </c>
      <c r="I94" s="524">
        <f t="shared" ref="I94:J94" si="40">SUM(I95:I96)</f>
        <v>0</v>
      </c>
      <c r="J94" s="524">
        <f t="shared" si="40"/>
        <v>100000</v>
      </c>
      <c r="K94" s="801"/>
      <c r="L94" s="556">
        <f t="shared" si="29"/>
        <v>1</v>
      </c>
    </row>
    <row r="95" spans="1:12" ht="18" customHeight="1">
      <c r="A95" s="739"/>
      <c r="B95" s="3406"/>
      <c r="C95" s="802" t="s">
        <v>407</v>
      </c>
      <c r="D95" s="803" t="s">
        <v>408</v>
      </c>
      <c r="E95" s="535">
        <v>100000</v>
      </c>
      <c r="F95" s="535">
        <v>100000</v>
      </c>
      <c r="G95" s="535">
        <v>100000</v>
      </c>
      <c r="H95" s="804">
        <f t="shared" si="32"/>
        <v>1</v>
      </c>
      <c r="I95" s="805">
        <v>0</v>
      </c>
      <c r="J95" s="531">
        <f t="shared" ref="J95" si="41">SUM(G95,I95)</f>
        <v>100000</v>
      </c>
      <c r="K95" s="806"/>
      <c r="L95" s="533">
        <f t="shared" si="29"/>
        <v>1</v>
      </c>
    </row>
    <row r="96" spans="1:12" ht="38.25" hidden="1">
      <c r="A96" s="739"/>
      <c r="B96" s="3371"/>
      <c r="C96" s="807" t="s">
        <v>371</v>
      </c>
      <c r="D96" s="808" t="s">
        <v>409</v>
      </c>
      <c r="E96" s="535">
        <v>0</v>
      </c>
      <c r="F96" s="535">
        <v>0</v>
      </c>
      <c r="G96" s="535"/>
      <c r="H96" s="804" t="e">
        <f t="shared" si="32"/>
        <v>#DIV/0!</v>
      </c>
      <c r="I96" s="805"/>
      <c r="J96" s="805"/>
      <c r="K96" s="806"/>
      <c r="L96" s="563" t="e">
        <f t="shared" si="29"/>
        <v>#DIV/0!</v>
      </c>
    </row>
    <row r="97" spans="1:13" ht="15.75" thickBot="1">
      <c r="A97" s="739"/>
      <c r="B97" s="3420" t="s">
        <v>343</v>
      </c>
      <c r="C97" s="3360"/>
      <c r="D97" s="809"/>
      <c r="E97" s="605">
        <v>0</v>
      </c>
      <c r="F97" s="605">
        <v>0</v>
      </c>
      <c r="G97" s="605">
        <f t="shared" ref="G97:J97" si="42">E97+F97</f>
        <v>0</v>
      </c>
      <c r="H97" s="810"/>
      <c r="I97" s="605">
        <f t="shared" si="42"/>
        <v>0</v>
      </c>
      <c r="J97" s="573">
        <f t="shared" si="42"/>
        <v>0</v>
      </c>
      <c r="K97" s="607"/>
      <c r="L97" s="608"/>
    </row>
    <row r="98" spans="1:13" ht="15.75" thickBot="1">
      <c r="A98" s="739"/>
      <c r="B98" s="811">
        <v>60013</v>
      </c>
      <c r="C98" s="736" t="s">
        <v>410</v>
      </c>
      <c r="D98" s="737"/>
      <c r="E98" s="812">
        <f>SUM(E99,E105)</f>
        <v>22680999</v>
      </c>
      <c r="F98" s="812">
        <f>SUM(F99,F105)</f>
        <v>55468637</v>
      </c>
      <c r="G98" s="812">
        <f>SUM(G99,G105)</f>
        <v>115469888</v>
      </c>
      <c r="H98" s="616">
        <f t="shared" si="32"/>
        <v>5.0910406547789187</v>
      </c>
      <c r="I98" s="812">
        <f>SUM(I99,I105)</f>
        <v>11400000</v>
      </c>
      <c r="J98" s="812">
        <f>SUM(J99,J105)</f>
        <v>126869888</v>
      </c>
      <c r="K98" s="738"/>
      <c r="L98" s="553">
        <f t="shared" si="29"/>
        <v>2.2872364431813965</v>
      </c>
    </row>
    <row r="99" spans="1:13">
      <c r="A99" s="739"/>
      <c r="B99" s="3355" t="s">
        <v>338</v>
      </c>
      <c r="C99" s="3357"/>
      <c r="D99" s="791"/>
      <c r="E99" s="813">
        <f>SUM(E100:E104)</f>
        <v>1109000</v>
      </c>
      <c r="F99" s="813">
        <f>SUM(F100:F104)</f>
        <v>2741500</v>
      </c>
      <c r="G99" s="813">
        <f>SUM(G100:G104)</f>
        <v>1109000</v>
      </c>
      <c r="H99" s="741">
        <f t="shared" si="32"/>
        <v>1</v>
      </c>
      <c r="I99" s="813">
        <f>SUM(I100:I104)</f>
        <v>0</v>
      </c>
      <c r="J99" s="813">
        <f>SUM(J100:J104)</f>
        <v>1109000</v>
      </c>
      <c r="K99" s="742"/>
      <c r="L99" s="556">
        <f t="shared" si="29"/>
        <v>0.40452307131132592</v>
      </c>
    </row>
    <row r="100" spans="1:13" ht="17.25" customHeight="1">
      <c r="A100" s="739"/>
      <c r="B100" s="814"/>
      <c r="C100" s="3367" t="s">
        <v>411</v>
      </c>
      <c r="D100" s="815" t="s">
        <v>408</v>
      </c>
      <c r="E100" s="816">
        <v>1100000</v>
      </c>
      <c r="F100" s="816">
        <v>1100000</v>
      </c>
      <c r="G100" s="816">
        <v>1100000</v>
      </c>
      <c r="H100" s="629">
        <f t="shared" si="32"/>
        <v>1</v>
      </c>
      <c r="I100" s="647">
        <v>0</v>
      </c>
      <c r="J100" s="531">
        <f t="shared" ref="J100:J101" si="43">SUM(G100,I100)</f>
        <v>1100000</v>
      </c>
      <c r="K100" s="603"/>
      <c r="L100" s="533">
        <f t="shared" si="29"/>
        <v>1</v>
      </c>
    </row>
    <row r="101" spans="1:13" ht="14.25" customHeight="1">
      <c r="A101" s="739"/>
      <c r="B101" s="814"/>
      <c r="C101" s="3369"/>
      <c r="D101" s="795" t="s">
        <v>342</v>
      </c>
      <c r="E101" s="816">
        <v>9000</v>
      </c>
      <c r="F101" s="816">
        <v>9000</v>
      </c>
      <c r="G101" s="816">
        <v>9000</v>
      </c>
      <c r="H101" s="629">
        <f t="shared" si="32"/>
        <v>1</v>
      </c>
      <c r="I101" s="647">
        <v>0</v>
      </c>
      <c r="J101" s="531">
        <f t="shared" si="43"/>
        <v>9000</v>
      </c>
      <c r="K101" s="603"/>
      <c r="L101" s="533">
        <f t="shared" si="29"/>
        <v>1</v>
      </c>
    </row>
    <row r="102" spans="1:13" ht="5.25" hidden="1" customHeight="1">
      <c r="A102" s="739"/>
      <c r="B102" s="814"/>
      <c r="C102" s="817" t="s">
        <v>412</v>
      </c>
      <c r="D102" s="818" t="s">
        <v>413</v>
      </c>
      <c r="E102" s="545">
        <v>0</v>
      </c>
      <c r="F102" s="545">
        <v>0</v>
      </c>
      <c r="G102" s="545">
        <v>0</v>
      </c>
      <c r="H102" s="746" t="e">
        <f t="shared" si="32"/>
        <v>#DIV/0!</v>
      </c>
      <c r="I102" s="747"/>
      <c r="J102" s="747"/>
      <c r="K102" s="596"/>
      <c r="L102" s="533" t="e">
        <f t="shared" si="29"/>
        <v>#DIV/0!</v>
      </c>
    </row>
    <row r="103" spans="1:13" ht="25.5" hidden="1">
      <c r="A103" s="739"/>
      <c r="B103" s="814"/>
      <c r="C103" s="819" t="s">
        <v>414</v>
      </c>
      <c r="D103" s="793" t="s">
        <v>415</v>
      </c>
      <c r="E103" s="624">
        <v>0</v>
      </c>
      <c r="F103" s="624">
        <v>200000</v>
      </c>
      <c r="G103" s="624">
        <v>0</v>
      </c>
      <c r="H103" s="746"/>
      <c r="I103" s="747">
        <v>0</v>
      </c>
      <c r="J103" s="531">
        <f t="shared" ref="J103:J104" si="44">SUM(G103,I103)</f>
        <v>0</v>
      </c>
      <c r="K103" s="596"/>
      <c r="L103" s="533">
        <f t="shared" si="29"/>
        <v>0</v>
      </c>
    </row>
    <row r="104" spans="1:13" ht="38.25" hidden="1">
      <c r="A104" s="3421"/>
      <c r="B104" s="820"/>
      <c r="C104" s="821" t="s">
        <v>416</v>
      </c>
      <c r="D104" s="822" t="s">
        <v>394</v>
      </c>
      <c r="E104" s="624">
        <v>0</v>
      </c>
      <c r="F104" s="624">
        <v>1432500</v>
      </c>
      <c r="G104" s="624">
        <v>0</v>
      </c>
      <c r="H104" s="746"/>
      <c r="I104" s="747">
        <v>0</v>
      </c>
      <c r="J104" s="531">
        <f t="shared" si="44"/>
        <v>0</v>
      </c>
      <c r="K104" s="596"/>
      <c r="L104" s="533">
        <f t="shared" si="29"/>
        <v>0</v>
      </c>
    </row>
    <row r="105" spans="1:13" s="564" customFormat="1">
      <c r="A105" s="3421"/>
      <c r="B105" s="3380" t="s">
        <v>382</v>
      </c>
      <c r="C105" s="3422"/>
      <c r="D105" s="823"/>
      <c r="E105" s="824">
        <f>SUM(E107:E118)</f>
        <v>21571999</v>
      </c>
      <c r="F105" s="824">
        <f>SUM(F107:F118)</f>
        <v>52727137</v>
      </c>
      <c r="G105" s="824">
        <f>SUM(G107:G118)</f>
        <v>114360888</v>
      </c>
      <c r="H105" s="620">
        <f t="shared" si="32"/>
        <v>5.3013579316409203</v>
      </c>
      <c r="I105" s="824">
        <f>SUM(I106:I118)</f>
        <v>11400000</v>
      </c>
      <c r="J105" s="824">
        <f>SUM(J106:J118)</f>
        <v>125760888</v>
      </c>
      <c r="K105" s="621"/>
      <c r="L105" s="693">
        <f t="shared" si="29"/>
        <v>2.3851264292995844</v>
      </c>
    </row>
    <row r="106" spans="1:13" s="564" customFormat="1" ht="70.5" customHeight="1">
      <c r="A106" s="825"/>
      <c r="B106" s="826"/>
      <c r="C106" s="759" t="s">
        <v>417</v>
      </c>
      <c r="D106" s="827">
        <v>6090</v>
      </c>
      <c r="E106" s="828">
        <v>0</v>
      </c>
      <c r="F106" s="816">
        <v>0</v>
      </c>
      <c r="G106" s="828">
        <v>0</v>
      </c>
      <c r="H106" s="629"/>
      <c r="I106" s="828">
        <v>11400000</v>
      </c>
      <c r="J106" s="756">
        <f t="shared" ref="J106:J118" si="45">SUM(G106,I106)</f>
        <v>11400000</v>
      </c>
      <c r="K106" s="829"/>
      <c r="L106" s="533"/>
    </row>
    <row r="107" spans="1:13" ht="63" hidden="1" customHeight="1">
      <c r="A107" s="3358"/>
      <c r="B107" s="3370"/>
      <c r="C107" s="830" t="s">
        <v>418</v>
      </c>
      <c r="D107" s="3414" t="s">
        <v>419</v>
      </c>
      <c r="E107" s="831">
        <v>500000</v>
      </c>
      <c r="F107" s="831">
        <v>9499130</v>
      </c>
      <c r="G107" s="628">
        <v>0</v>
      </c>
      <c r="H107" s="832">
        <f t="shared" si="32"/>
        <v>0</v>
      </c>
      <c r="I107" s="833">
        <v>0</v>
      </c>
      <c r="J107" s="756">
        <f t="shared" si="45"/>
        <v>0</v>
      </c>
      <c r="K107" s="834"/>
      <c r="L107" s="533">
        <f t="shared" si="29"/>
        <v>0</v>
      </c>
      <c r="M107" s="835"/>
    </row>
    <row r="108" spans="1:13" ht="64.5" hidden="1" customHeight="1">
      <c r="A108" s="3358"/>
      <c r="B108" s="3370"/>
      <c r="C108" s="836" t="s">
        <v>420</v>
      </c>
      <c r="D108" s="3414"/>
      <c r="E108" s="837">
        <v>5984408</v>
      </c>
      <c r="F108" s="837">
        <v>8549155</v>
      </c>
      <c r="G108" s="816">
        <v>0</v>
      </c>
      <c r="H108" s="629">
        <f t="shared" si="32"/>
        <v>0</v>
      </c>
      <c r="I108" s="647">
        <v>0</v>
      </c>
      <c r="J108" s="531">
        <f t="shared" si="45"/>
        <v>0</v>
      </c>
      <c r="K108" s="603"/>
      <c r="L108" s="533">
        <f t="shared" si="29"/>
        <v>0</v>
      </c>
      <c r="M108" s="838"/>
    </row>
    <row r="109" spans="1:13" ht="63" hidden="1" customHeight="1">
      <c r="A109" s="839"/>
      <c r="B109" s="743"/>
      <c r="C109" s="836" t="s">
        <v>421</v>
      </c>
      <c r="D109" s="3415"/>
      <c r="E109" s="840">
        <v>0</v>
      </c>
      <c r="F109" s="837">
        <v>579774</v>
      </c>
      <c r="G109" s="816">
        <v>0</v>
      </c>
      <c r="H109" s="629"/>
      <c r="I109" s="647">
        <v>0</v>
      </c>
      <c r="J109" s="531">
        <f t="shared" si="45"/>
        <v>0</v>
      </c>
      <c r="K109" s="603"/>
      <c r="L109" s="533">
        <f t="shared" si="29"/>
        <v>0</v>
      </c>
    </row>
    <row r="110" spans="1:13" ht="41.25" customHeight="1" thickBot="1">
      <c r="A110" s="839"/>
      <c r="B110" s="743"/>
      <c r="C110" s="841" t="s">
        <v>422</v>
      </c>
      <c r="D110" s="842" t="s">
        <v>423</v>
      </c>
      <c r="E110" s="840">
        <v>0</v>
      </c>
      <c r="F110" s="837">
        <v>0</v>
      </c>
      <c r="G110" s="816">
        <v>56355000</v>
      </c>
      <c r="H110" s="629"/>
      <c r="I110" s="647">
        <v>0</v>
      </c>
      <c r="J110" s="531">
        <f t="shared" si="45"/>
        <v>56355000</v>
      </c>
      <c r="K110" s="843"/>
      <c r="L110" s="770"/>
    </row>
    <row r="111" spans="1:13" ht="66.75" hidden="1" customHeight="1">
      <c r="A111" s="844"/>
      <c r="B111" s="845"/>
      <c r="C111" s="846" t="s">
        <v>424</v>
      </c>
      <c r="D111" s="847">
        <v>6258</v>
      </c>
      <c r="E111" s="848">
        <v>0</v>
      </c>
      <c r="F111" s="624">
        <v>78696</v>
      </c>
      <c r="G111" s="624">
        <v>0</v>
      </c>
      <c r="H111" s="746"/>
      <c r="I111" s="747">
        <v>0</v>
      </c>
      <c r="J111" s="756">
        <f t="shared" si="45"/>
        <v>0</v>
      </c>
      <c r="K111" s="596"/>
      <c r="L111" s="758">
        <f t="shared" si="29"/>
        <v>0</v>
      </c>
    </row>
    <row r="112" spans="1:13" ht="63.75" hidden="1">
      <c r="A112" s="844"/>
      <c r="B112" s="845"/>
      <c r="C112" s="849" t="s">
        <v>425</v>
      </c>
      <c r="D112" s="3416">
        <v>6258</v>
      </c>
      <c r="E112" s="848">
        <v>0</v>
      </c>
      <c r="F112" s="624">
        <v>1240409</v>
      </c>
      <c r="G112" s="624">
        <v>0</v>
      </c>
      <c r="H112" s="746"/>
      <c r="I112" s="747">
        <v>0</v>
      </c>
      <c r="J112" s="756">
        <f t="shared" si="45"/>
        <v>0</v>
      </c>
      <c r="K112" s="596"/>
      <c r="L112" s="533">
        <f t="shared" si="29"/>
        <v>0</v>
      </c>
    </row>
    <row r="113" spans="1:13" ht="63.75" hidden="1">
      <c r="A113" s="844"/>
      <c r="B113" s="845"/>
      <c r="C113" s="850" t="s">
        <v>426</v>
      </c>
      <c r="D113" s="3417"/>
      <c r="E113" s="851">
        <v>7647575</v>
      </c>
      <c r="F113" s="816">
        <v>9062330</v>
      </c>
      <c r="G113" s="816">
        <v>0</v>
      </c>
      <c r="H113" s="629">
        <f t="shared" si="32"/>
        <v>0</v>
      </c>
      <c r="I113" s="747">
        <v>0</v>
      </c>
      <c r="J113" s="531">
        <f t="shared" si="45"/>
        <v>0</v>
      </c>
      <c r="K113" s="596"/>
      <c r="L113" s="533">
        <f t="shared" si="29"/>
        <v>0</v>
      </c>
      <c r="M113" s="835"/>
    </row>
    <row r="114" spans="1:13" ht="63.75" hidden="1" customHeight="1">
      <c r="A114" s="3358"/>
      <c r="B114" s="845"/>
      <c r="C114" s="852" t="s">
        <v>427</v>
      </c>
      <c r="D114" s="853">
        <v>6280</v>
      </c>
      <c r="E114" s="854">
        <v>0</v>
      </c>
      <c r="F114" s="600">
        <v>0</v>
      </c>
      <c r="G114" s="816">
        <v>0</v>
      </c>
      <c r="H114" s="629" t="e">
        <f t="shared" si="32"/>
        <v>#DIV/0!</v>
      </c>
      <c r="I114" s="747"/>
      <c r="J114" s="531">
        <f t="shared" si="45"/>
        <v>0</v>
      </c>
      <c r="K114" s="596"/>
      <c r="L114" s="533" t="e">
        <f t="shared" si="29"/>
        <v>#DIV/0!</v>
      </c>
    </row>
    <row r="115" spans="1:13" ht="26.25" hidden="1" thickBot="1">
      <c r="A115" s="3358"/>
      <c r="B115" s="845"/>
      <c r="C115" s="855" t="s">
        <v>428</v>
      </c>
      <c r="D115" s="856">
        <v>6290</v>
      </c>
      <c r="E115" s="816">
        <v>0</v>
      </c>
      <c r="F115" s="837">
        <v>100000</v>
      </c>
      <c r="G115" s="816">
        <v>0</v>
      </c>
      <c r="H115" s="629"/>
      <c r="I115" s="647">
        <v>0</v>
      </c>
      <c r="J115" s="531">
        <f t="shared" si="45"/>
        <v>0</v>
      </c>
      <c r="K115" s="590"/>
      <c r="L115" s="533">
        <f t="shared" si="29"/>
        <v>0</v>
      </c>
    </row>
    <row r="116" spans="1:13" s="859" customFormat="1" ht="51">
      <c r="A116" s="844"/>
      <c r="B116" s="845"/>
      <c r="C116" s="857" t="s">
        <v>429</v>
      </c>
      <c r="D116" s="858">
        <v>6300</v>
      </c>
      <c r="E116" s="628">
        <v>1823804</v>
      </c>
      <c r="F116" s="831">
        <v>17997633</v>
      </c>
      <c r="G116" s="628">
        <v>9760888</v>
      </c>
      <c r="H116" s="746">
        <f t="shared" si="32"/>
        <v>5.351939133810431</v>
      </c>
      <c r="I116" s="755">
        <v>0</v>
      </c>
      <c r="J116" s="756">
        <f t="shared" si="45"/>
        <v>9760888</v>
      </c>
      <c r="K116" s="757"/>
      <c r="L116" s="533">
        <f t="shared" si="29"/>
        <v>0.54234287364343969</v>
      </c>
    </row>
    <row r="117" spans="1:13" s="862" customFormat="1" ht="38.25">
      <c r="A117" s="844"/>
      <c r="B117" s="845"/>
      <c r="C117" s="860" t="s">
        <v>430</v>
      </c>
      <c r="D117" s="861">
        <v>6350</v>
      </c>
      <c r="E117" s="816">
        <v>1871000</v>
      </c>
      <c r="F117" s="816">
        <v>1871000</v>
      </c>
      <c r="G117" s="816">
        <v>46565000</v>
      </c>
      <c r="H117" s="629">
        <f t="shared" si="32"/>
        <v>24.887760555852484</v>
      </c>
      <c r="I117" s="647">
        <v>0</v>
      </c>
      <c r="J117" s="531">
        <f t="shared" si="45"/>
        <v>46565000</v>
      </c>
      <c r="K117" s="603"/>
      <c r="L117" s="533">
        <f t="shared" si="29"/>
        <v>24.887760555852484</v>
      </c>
    </row>
    <row r="118" spans="1:13" ht="39" thickBot="1">
      <c r="A118" s="863"/>
      <c r="B118" s="864"/>
      <c r="C118" s="865" t="s">
        <v>431</v>
      </c>
      <c r="D118" s="789">
        <v>6530</v>
      </c>
      <c r="E118" s="778">
        <v>3745212</v>
      </c>
      <c r="F118" s="778">
        <v>3749010</v>
      </c>
      <c r="G118" s="778">
        <v>1680000</v>
      </c>
      <c r="H118" s="767">
        <f t="shared" si="32"/>
        <v>0.44857273767145894</v>
      </c>
      <c r="I118" s="866">
        <v>0</v>
      </c>
      <c r="J118" s="700">
        <f t="shared" si="45"/>
        <v>1680000</v>
      </c>
      <c r="K118" s="590"/>
      <c r="L118" s="770">
        <f t="shared" si="29"/>
        <v>0.44811830323205326</v>
      </c>
    </row>
    <row r="119" spans="1:13" ht="45.75" hidden="1" customHeight="1" thickBot="1">
      <c r="A119" s="844"/>
      <c r="B119" s="867">
        <v>60078</v>
      </c>
      <c r="C119" s="868"/>
      <c r="D119" s="869"/>
      <c r="E119" s="870">
        <f>SUM(E120,E122)</f>
        <v>0</v>
      </c>
      <c r="F119" s="870">
        <f t="shared" ref="F119:G119" si="46">SUM(F120,F122)</f>
        <v>0</v>
      </c>
      <c r="G119" s="870">
        <f t="shared" si="46"/>
        <v>0</v>
      </c>
      <c r="H119" s="871" t="e">
        <f t="shared" ref="H119:H121" si="47">G119/F119</f>
        <v>#DIV/0!</v>
      </c>
      <c r="I119" s="707"/>
      <c r="J119" s="707"/>
      <c r="K119" s="708"/>
      <c r="L119" s="772" t="e">
        <f t="shared" si="29"/>
        <v>#DIV/0!</v>
      </c>
    </row>
    <row r="120" spans="1:13" ht="42.75" hidden="1" customHeight="1">
      <c r="A120" s="844"/>
      <c r="B120" s="3355" t="s">
        <v>338</v>
      </c>
      <c r="C120" s="3356"/>
      <c r="D120" s="872"/>
      <c r="E120" s="873">
        <f>SUM(E121:E121)</f>
        <v>0</v>
      </c>
      <c r="F120" s="873">
        <f t="shared" ref="F120:G120" si="48">SUM(F121:F121)</f>
        <v>0</v>
      </c>
      <c r="G120" s="873">
        <f t="shared" si="48"/>
        <v>0</v>
      </c>
      <c r="H120" s="874" t="e">
        <f t="shared" si="47"/>
        <v>#DIV/0!</v>
      </c>
      <c r="I120" s="875"/>
      <c r="J120" s="875"/>
      <c r="K120" s="708"/>
      <c r="L120" s="563" t="e">
        <f t="shared" si="29"/>
        <v>#DIV/0!</v>
      </c>
    </row>
    <row r="121" spans="1:13" ht="51.75" hidden="1" thickBot="1">
      <c r="A121" s="844"/>
      <c r="B121" s="876"/>
      <c r="C121" s="877" t="s">
        <v>429</v>
      </c>
      <c r="D121" s="795" t="s">
        <v>394</v>
      </c>
      <c r="E121" s="600">
        <v>0</v>
      </c>
      <c r="F121" s="600">
        <v>0</v>
      </c>
      <c r="G121" s="600">
        <v>0</v>
      </c>
      <c r="H121" s="601" t="e">
        <f t="shared" si="47"/>
        <v>#DIV/0!</v>
      </c>
      <c r="I121" s="547"/>
      <c r="J121" s="547"/>
      <c r="K121" s="708"/>
      <c r="L121" s="563" t="e">
        <f t="shared" si="29"/>
        <v>#DIV/0!</v>
      </c>
    </row>
    <row r="122" spans="1:13" ht="15.75" hidden="1" thickBot="1">
      <c r="A122" s="844"/>
      <c r="B122" s="3407" t="s">
        <v>343</v>
      </c>
      <c r="C122" s="3408"/>
      <c r="D122" s="878"/>
      <c r="E122" s="879">
        <v>0</v>
      </c>
      <c r="F122" s="879">
        <v>0</v>
      </c>
      <c r="G122" s="879">
        <v>0</v>
      </c>
      <c r="H122" s="880"/>
      <c r="I122" s="712"/>
      <c r="J122" s="712"/>
      <c r="K122" s="708"/>
      <c r="L122" s="549" t="e">
        <f t="shared" si="29"/>
        <v>#DIV/0!</v>
      </c>
    </row>
    <row r="123" spans="1:13" ht="15.75" thickBot="1">
      <c r="A123" s="844"/>
      <c r="B123" s="881">
        <v>60095</v>
      </c>
      <c r="C123" s="882" t="s">
        <v>11</v>
      </c>
      <c r="D123" s="883"/>
      <c r="E123" s="656">
        <f>SUM(E124,E128)</f>
        <v>289191</v>
      </c>
      <c r="F123" s="656">
        <f t="shared" ref="F123:G123" si="49">SUM(F124,F128)</f>
        <v>289191</v>
      </c>
      <c r="G123" s="656">
        <f t="shared" si="49"/>
        <v>283520</v>
      </c>
      <c r="H123" s="781">
        <f t="shared" ref="H123:H168" si="50">G123/E123</f>
        <v>0.98039012279081994</v>
      </c>
      <c r="I123" s="656">
        <f t="shared" ref="I123:J123" si="51">SUM(I124,I128)</f>
        <v>10421</v>
      </c>
      <c r="J123" s="656">
        <f t="shared" si="51"/>
        <v>293941</v>
      </c>
      <c r="K123" s="617"/>
      <c r="L123" s="553">
        <f t="shared" si="29"/>
        <v>1.01642513079591</v>
      </c>
    </row>
    <row r="124" spans="1:13">
      <c r="A124" s="844"/>
      <c r="B124" s="3409" t="s">
        <v>338</v>
      </c>
      <c r="C124" s="3410"/>
      <c r="D124" s="872"/>
      <c r="E124" s="884">
        <f>SUM(E125:E127)</f>
        <v>289191</v>
      </c>
      <c r="F124" s="524">
        <f t="shared" ref="F124" si="52">SUM(F125:F127)</f>
        <v>289191</v>
      </c>
      <c r="G124" s="524">
        <f>SUM(G125:G127)</f>
        <v>283520</v>
      </c>
      <c r="H124" s="800">
        <f t="shared" si="50"/>
        <v>0.98039012279081994</v>
      </c>
      <c r="I124" s="524">
        <f>SUM(I125:I127)</f>
        <v>10421</v>
      </c>
      <c r="J124" s="524">
        <f>SUM(J125:J127)</f>
        <v>293941</v>
      </c>
      <c r="K124" s="801"/>
      <c r="L124" s="556">
        <f t="shared" si="29"/>
        <v>1.01642513079591</v>
      </c>
    </row>
    <row r="125" spans="1:13" ht="78.75" customHeight="1">
      <c r="A125" s="844"/>
      <c r="B125" s="885"/>
      <c r="C125" s="786" t="s">
        <v>432</v>
      </c>
      <c r="D125" s="795" t="s">
        <v>355</v>
      </c>
      <c r="E125" s="535">
        <v>770</v>
      </c>
      <c r="F125" s="535">
        <v>770</v>
      </c>
      <c r="G125" s="535">
        <v>520</v>
      </c>
      <c r="H125" s="629">
        <f t="shared" si="50"/>
        <v>0.67532467532467533</v>
      </c>
      <c r="I125" s="647">
        <v>0</v>
      </c>
      <c r="J125" s="531">
        <f t="shared" ref="J125:J127" si="53">SUM(G125,I125)</f>
        <v>520</v>
      </c>
      <c r="K125" s="603"/>
      <c r="L125" s="533">
        <f t="shared" si="29"/>
        <v>0.67532467532467533</v>
      </c>
    </row>
    <row r="126" spans="1:13" ht="42" customHeight="1">
      <c r="A126" s="3358"/>
      <c r="B126" s="3370"/>
      <c r="C126" s="786" t="s">
        <v>363</v>
      </c>
      <c r="D126" s="886">
        <v>2210</v>
      </c>
      <c r="E126" s="535">
        <v>280000</v>
      </c>
      <c r="F126" s="535">
        <v>280000</v>
      </c>
      <c r="G126" s="535">
        <f>160000+120000</f>
        <v>280000</v>
      </c>
      <c r="H126" s="629">
        <f t="shared" si="50"/>
        <v>1</v>
      </c>
      <c r="I126" s="647">
        <v>5000</v>
      </c>
      <c r="J126" s="531">
        <f t="shared" si="53"/>
        <v>285000</v>
      </c>
      <c r="K126" s="568" t="s">
        <v>404</v>
      </c>
      <c r="L126" s="533">
        <f t="shared" si="29"/>
        <v>1.0178571428571428</v>
      </c>
    </row>
    <row r="127" spans="1:13" ht="39.75" customHeight="1">
      <c r="A127" s="3358"/>
      <c r="B127" s="3371"/>
      <c r="C127" s="887" t="s">
        <v>371</v>
      </c>
      <c r="D127" s="888">
        <v>2360</v>
      </c>
      <c r="E127" s="625">
        <v>8421</v>
      </c>
      <c r="F127" s="625">
        <v>8421</v>
      </c>
      <c r="G127" s="625">
        <v>3000</v>
      </c>
      <c r="H127" s="629">
        <f t="shared" si="50"/>
        <v>0.35625222657641609</v>
      </c>
      <c r="I127" s="647">
        <v>5421</v>
      </c>
      <c r="J127" s="531">
        <f t="shared" si="53"/>
        <v>8421</v>
      </c>
      <c r="K127" s="603"/>
      <c r="L127" s="533">
        <f t="shared" si="29"/>
        <v>1</v>
      </c>
    </row>
    <row r="128" spans="1:13" ht="15.75" thickBot="1">
      <c r="A128" s="863"/>
      <c r="B128" s="3359" t="s">
        <v>343</v>
      </c>
      <c r="C128" s="3408"/>
      <c r="D128" s="878"/>
      <c r="E128" s="573">
        <v>0</v>
      </c>
      <c r="F128" s="573">
        <v>0</v>
      </c>
      <c r="G128" s="573">
        <v>0</v>
      </c>
      <c r="H128" s="797"/>
      <c r="I128" s="573">
        <v>0</v>
      </c>
      <c r="J128" s="573">
        <v>0</v>
      </c>
      <c r="K128" s="798"/>
      <c r="L128" s="541"/>
    </row>
    <row r="129" spans="1:12" ht="15.75" thickBot="1">
      <c r="A129" s="889">
        <v>630</v>
      </c>
      <c r="B129" s="890"/>
      <c r="C129" s="891" t="s">
        <v>16</v>
      </c>
      <c r="D129" s="892"/>
      <c r="E129" s="509">
        <f t="shared" ref="E129:G129" si="54">E130+E137</f>
        <v>222572</v>
      </c>
      <c r="F129" s="509">
        <f t="shared" si="54"/>
        <v>222572</v>
      </c>
      <c r="G129" s="509">
        <f t="shared" si="54"/>
        <v>151779</v>
      </c>
      <c r="H129" s="732">
        <f t="shared" si="50"/>
        <v>0.68193213881350756</v>
      </c>
      <c r="I129" s="509">
        <f t="shared" ref="I129:J129" si="55">I130+I137</f>
        <v>0</v>
      </c>
      <c r="J129" s="509">
        <f t="shared" si="55"/>
        <v>151779</v>
      </c>
      <c r="K129" s="733"/>
      <c r="L129" s="549">
        <f t="shared" si="29"/>
        <v>0.68193213881350756</v>
      </c>
    </row>
    <row r="130" spans="1:12" ht="15.75" thickBot="1">
      <c r="A130" s="3382"/>
      <c r="B130" s="881">
        <v>63003</v>
      </c>
      <c r="C130" s="882" t="s">
        <v>433</v>
      </c>
      <c r="D130" s="883"/>
      <c r="E130" s="656">
        <f t="shared" ref="E130:G130" si="56">E131+E136</f>
        <v>172572</v>
      </c>
      <c r="F130" s="656">
        <f t="shared" si="56"/>
        <v>172572</v>
      </c>
      <c r="G130" s="656">
        <f t="shared" si="56"/>
        <v>101779</v>
      </c>
      <c r="H130" s="781">
        <f t="shared" si="50"/>
        <v>0.58977702060589199</v>
      </c>
      <c r="I130" s="656">
        <f t="shared" ref="I130:J130" si="57">I131+I136</f>
        <v>0</v>
      </c>
      <c r="J130" s="656">
        <f t="shared" si="57"/>
        <v>101779</v>
      </c>
      <c r="K130" s="617"/>
      <c r="L130" s="553">
        <f t="shared" si="29"/>
        <v>0.58977702060589199</v>
      </c>
    </row>
    <row r="131" spans="1:12" ht="15.75" thickBot="1">
      <c r="A131" s="3358"/>
      <c r="B131" s="3355" t="s">
        <v>338</v>
      </c>
      <c r="C131" s="3356"/>
      <c r="D131" s="893"/>
      <c r="E131" s="894">
        <f>SUM(E132:E135)</f>
        <v>172572</v>
      </c>
      <c r="F131" s="894">
        <f t="shared" ref="F131:G131" si="58">SUM(F132:F135)</f>
        <v>172572</v>
      </c>
      <c r="G131" s="894">
        <f t="shared" si="58"/>
        <v>101779</v>
      </c>
      <c r="H131" s="895">
        <f t="shared" si="50"/>
        <v>0.58977702060589199</v>
      </c>
      <c r="I131" s="894">
        <f t="shared" ref="I131:J131" si="59">SUM(I132:I135)</f>
        <v>0</v>
      </c>
      <c r="J131" s="894">
        <f t="shared" si="59"/>
        <v>101779</v>
      </c>
      <c r="K131" s="896"/>
      <c r="L131" s="556">
        <f t="shared" si="29"/>
        <v>0.58977702060589199</v>
      </c>
    </row>
    <row r="132" spans="1:12" ht="41.25" hidden="1" customHeight="1">
      <c r="A132" s="3358"/>
      <c r="B132" s="3412"/>
      <c r="C132" s="897" t="s">
        <v>434</v>
      </c>
      <c r="D132" s="898" t="s">
        <v>378</v>
      </c>
      <c r="E132" s="899">
        <v>0</v>
      </c>
      <c r="F132" s="625">
        <v>0</v>
      </c>
      <c r="G132" s="900">
        <v>0</v>
      </c>
      <c r="H132" s="746" t="e">
        <f t="shared" si="50"/>
        <v>#DIV/0!</v>
      </c>
      <c r="I132" s="747"/>
      <c r="J132" s="747"/>
      <c r="K132" s="901"/>
      <c r="L132" s="563" t="e">
        <f t="shared" si="29"/>
        <v>#DIV/0!</v>
      </c>
    </row>
    <row r="133" spans="1:12" ht="43.5" hidden="1" customHeight="1">
      <c r="A133" s="3358"/>
      <c r="B133" s="3412"/>
      <c r="C133" s="902" t="s">
        <v>348</v>
      </c>
      <c r="D133" s="903" t="s">
        <v>349</v>
      </c>
      <c r="E133" s="684">
        <v>0</v>
      </c>
      <c r="F133" s="535">
        <v>0</v>
      </c>
      <c r="G133" s="904">
        <v>0</v>
      </c>
      <c r="H133" s="629" t="e">
        <f t="shared" si="50"/>
        <v>#DIV/0!</v>
      </c>
      <c r="I133" s="647"/>
      <c r="J133" s="647"/>
      <c r="K133" s="603"/>
      <c r="L133" s="563" t="e">
        <f t="shared" si="29"/>
        <v>#DIV/0!</v>
      </c>
    </row>
    <row r="134" spans="1:12" ht="76.5">
      <c r="A134" s="3358"/>
      <c r="B134" s="3412"/>
      <c r="C134" s="786" t="s">
        <v>435</v>
      </c>
      <c r="D134" s="886">
        <v>2058</v>
      </c>
      <c r="E134" s="625">
        <v>172572</v>
      </c>
      <c r="F134" s="625">
        <v>172572</v>
      </c>
      <c r="G134" s="625">
        <v>101779</v>
      </c>
      <c r="H134" s="746">
        <f t="shared" si="50"/>
        <v>0.58977702060589199</v>
      </c>
      <c r="I134" s="747">
        <v>0</v>
      </c>
      <c r="J134" s="531">
        <f t="shared" ref="J134" si="60">SUM(G134,I134)</f>
        <v>101779</v>
      </c>
      <c r="K134" s="596"/>
      <c r="L134" s="533">
        <f t="shared" si="29"/>
        <v>0.58977702060589199</v>
      </c>
    </row>
    <row r="135" spans="1:12" ht="51" hidden="1">
      <c r="A135" s="3358"/>
      <c r="B135" s="3413"/>
      <c r="C135" s="905" t="s">
        <v>436</v>
      </c>
      <c r="D135" s="906">
        <v>2910</v>
      </c>
      <c r="E135" s="625">
        <v>0</v>
      </c>
      <c r="F135" s="625">
        <v>0</v>
      </c>
      <c r="G135" s="545">
        <v>0</v>
      </c>
      <c r="H135" s="907" t="e">
        <f t="shared" si="50"/>
        <v>#DIV/0!</v>
      </c>
      <c r="I135" s="908"/>
      <c r="J135" s="909"/>
      <c r="K135" s="708"/>
      <c r="L135" s="563" t="e">
        <f t="shared" si="29"/>
        <v>#DIV/0!</v>
      </c>
    </row>
    <row r="136" spans="1:12" ht="15.75" thickBot="1">
      <c r="A136" s="3358"/>
      <c r="B136" s="3359" t="s">
        <v>343</v>
      </c>
      <c r="C136" s="3399"/>
      <c r="D136" s="910"/>
      <c r="E136" s="573">
        <v>0</v>
      </c>
      <c r="F136" s="573">
        <v>0</v>
      </c>
      <c r="G136" s="573">
        <v>0</v>
      </c>
      <c r="H136" s="797"/>
      <c r="I136" s="573">
        <v>0</v>
      </c>
      <c r="J136" s="573">
        <v>0</v>
      </c>
      <c r="K136" s="575"/>
      <c r="L136" s="576"/>
    </row>
    <row r="137" spans="1:12" ht="15.75" thickBot="1">
      <c r="A137" s="3358"/>
      <c r="B137" s="867">
        <v>63095</v>
      </c>
      <c r="C137" s="868" t="s">
        <v>11</v>
      </c>
      <c r="D137" s="869"/>
      <c r="E137" s="911">
        <f>E138+E140</f>
        <v>50000</v>
      </c>
      <c r="F137" s="911">
        <f>F138+F140</f>
        <v>50000</v>
      </c>
      <c r="G137" s="911">
        <f>G138+G140</f>
        <v>50000</v>
      </c>
      <c r="H137" s="912">
        <f t="shared" si="50"/>
        <v>1</v>
      </c>
      <c r="I137" s="911">
        <f>I138+I140</f>
        <v>0</v>
      </c>
      <c r="J137" s="911">
        <f>J138+J140</f>
        <v>50000</v>
      </c>
      <c r="K137" s="913"/>
      <c r="L137" s="553">
        <f t="shared" si="29"/>
        <v>1</v>
      </c>
    </row>
    <row r="138" spans="1:12" ht="15" customHeight="1">
      <c r="A138" s="3358"/>
      <c r="B138" s="3355" t="s">
        <v>338</v>
      </c>
      <c r="C138" s="3356"/>
      <c r="D138" s="893"/>
      <c r="E138" s="894">
        <f>E139</f>
        <v>50000</v>
      </c>
      <c r="F138" s="894">
        <f>F139</f>
        <v>50000</v>
      </c>
      <c r="G138" s="894">
        <f>G139</f>
        <v>50000</v>
      </c>
      <c r="H138" s="895">
        <f t="shared" si="50"/>
        <v>1</v>
      </c>
      <c r="I138" s="894">
        <f>I139</f>
        <v>0</v>
      </c>
      <c r="J138" s="894">
        <f>J139</f>
        <v>50000</v>
      </c>
      <c r="K138" s="914"/>
      <c r="L138" s="556">
        <f t="shared" si="29"/>
        <v>1</v>
      </c>
    </row>
    <row r="139" spans="1:12" ht="38.25">
      <c r="A139" s="3358"/>
      <c r="B139" s="743"/>
      <c r="C139" s="915" t="s">
        <v>363</v>
      </c>
      <c r="D139" s="888">
        <v>2210</v>
      </c>
      <c r="E139" s="625">
        <v>50000</v>
      </c>
      <c r="F139" s="625">
        <v>50000</v>
      </c>
      <c r="G139" s="625">
        <v>50000</v>
      </c>
      <c r="H139" s="746">
        <f t="shared" si="50"/>
        <v>1</v>
      </c>
      <c r="I139" s="747">
        <v>0</v>
      </c>
      <c r="J139" s="531">
        <f t="shared" ref="J139" si="61">SUM(G139,I139)</f>
        <v>50000</v>
      </c>
      <c r="K139" s="916" t="s">
        <v>351</v>
      </c>
      <c r="L139" s="533">
        <f t="shared" ref="L139:L202" si="62">J139/F139</f>
        <v>1</v>
      </c>
    </row>
    <row r="140" spans="1:12" ht="15.75" customHeight="1" thickBot="1">
      <c r="A140" s="3411"/>
      <c r="B140" s="3359" t="s">
        <v>343</v>
      </c>
      <c r="C140" s="3399"/>
      <c r="D140" s="910"/>
      <c r="E140" s="573">
        <v>0</v>
      </c>
      <c r="F140" s="573">
        <v>0</v>
      </c>
      <c r="G140" s="573">
        <v>0</v>
      </c>
      <c r="H140" s="574"/>
      <c r="I140" s="573">
        <v>0</v>
      </c>
      <c r="J140" s="573">
        <v>0</v>
      </c>
      <c r="K140" s="575"/>
      <c r="L140" s="608"/>
    </row>
    <row r="141" spans="1:12" ht="17.25" customHeight="1" thickBot="1">
      <c r="A141" s="889">
        <v>700</v>
      </c>
      <c r="B141" s="890"/>
      <c r="C141" s="891" t="s">
        <v>437</v>
      </c>
      <c r="D141" s="891"/>
      <c r="E141" s="509">
        <f t="shared" ref="E141:J141" si="63">SUM(E142)</f>
        <v>3430800</v>
      </c>
      <c r="F141" s="509">
        <f t="shared" si="63"/>
        <v>3430800</v>
      </c>
      <c r="G141" s="509">
        <f t="shared" si="63"/>
        <v>3415600</v>
      </c>
      <c r="H141" s="732">
        <f t="shared" si="50"/>
        <v>0.99556954646146667</v>
      </c>
      <c r="I141" s="509">
        <f t="shared" si="63"/>
        <v>0</v>
      </c>
      <c r="J141" s="509">
        <f t="shared" si="63"/>
        <v>3415600</v>
      </c>
      <c r="K141" s="642"/>
      <c r="L141" s="643">
        <f t="shared" si="62"/>
        <v>0.99556954646146667</v>
      </c>
    </row>
    <row r="142" spans="1:12" ht="15.75" thickBot="1">
      <c r="A142" s="3400"/>
      <c r="B142" s="917">
        <v>70005</v>
      </c>
      <c r="C142" s="918" t="s">
        <v>438</v>
      </c>
      <c r="D142" s="919"/>
      <c r="E142" s="656">
        <f>SUM(E143,E148)</f>
        <v>3430800</v>
      </c>
      <c r="F142" s="656">
        <f>SUM(F143,F148)</f>
        <v>3430800</v>
      </c>
      <c r="G142" s="656">
        <f>SUM(G143,G148)</f>
        <v>3415600</v>
      </c>
      <c r="H142" s="781">
        <f t="shared" si="50"/>
        <v>0.99556954646146667</v>
      </c>
      <c r="I142" s="656">
        <f>SUM(I143,I148)</f>
        <v>0</v>
      </c>
      <c r="J142" s="656">
        <f>SUM(J143,J148)</f>
        <v>3415600</v>
      </c>
      <c r="K142" s="658"/>
      <c r="L142" s="553">
        <f t="shared" si="62"/>
        <v>0.99556954646146667</v>
      </c>
    </row>
    <row r="143" spans="1:12" ht="15.75" customHeight="1">
      <c r="A143" s="3401"/>
      <c r="B143" s="3385" t="s">
        <v>338</v>
      </c>
      <c r="C143" s="3386"/>
      <c r="D143" s="920"/>
      <c r="E143" s="660">
        <f>SUM(E144:E147)</f>
        <v>429000</v>
      </c>
      <c r="F143" s="660">
        <f>SUM(F144:F147)</f>
        <v>429000</v>
      </c>
      <c r="G143" s="660">
        <f>SUM(G144:G147)</f>
        <v>414000</v>
      </c>
      <c r="H143" s="921">
        <f t="shared" si="50"/>
        <v>0.965034965034965</v>
      </c>
      <c r="I143" s="660">
        <f>SUM(I144:I147)</f>
        <v>0</v>
      </c>
      <c r="J143" s="660">
        <f>SUM(J144:J147)</f>
        <v>414000</v>
      </c>
      <c r="K143" s="829"/>
      <c r="L143" s="556">
        <f t="shared" si="62"/>
        <v>0.965034965034965</v>
      </c>
    </row>
    <row r="144" spans="1:12">
      <c r="A144" s="3401"/>
      <c r="B144" s="3403"/>
      <c r="C144" s="922" t="s">
        <v>439</v>
      </c>
      <c r="D144" s="923" t="s">
        <v>440</v>
      </c>
      <c r="E144" s="634">
        <v>330000</v>
      </c>
      <c r="F144" s="634">
        <v>330000</v>
      </c>
      <c r="G144" s="634">
        <v>330000</v>
      </c>
      <c r="H144" s="761">
        <f t="shared" si="50"/>
        <v>1</v>
      </c>
      <c r="I144" s="762">
        <v>0</v>
      </c>
      <c r="J144" s="531">
        <f t="shared" ref="J144:J147" si="64">SUM(G144,I144)</f>
        <v>330000</v>
      </c>
      <c r="K144" s="636"/>
      <c r="L144" s="533">
        <f t="shared" si="62"/>
        <v>1</v>
      </c>
    </row>
    <row r="145" spans="1:12" s="925" customFormat="1" ht="25.5">
      <c r="A145" s="3401"/>
      <c r="B145" s="3401"/>
      <c r="C145" s="924" t="s">
        <v>441</v>
      </c>
      <c r="D145" s="822" t="s">
        <v>442</v>
      </c>
      <c r="E145" s="535">
        <v>24000</v>
      </c>
      <c r="F145" s="535">
        <v>24000</v>
      </c>
      <c r="G145" s="535">
        <v>24000</v>
      </c>
      <c r="H145" s="629">
        <f t="shared" si="50"/>
        <v>1</v>
      </c>
      <c r="I145" s="647">
        <v>0</v>
      </c>
      <c r="J145" s="531">
        <f t="shared" si="64"/>
        <v>24000</v>
      </c>
      <c r="K145" s="603"/>
      <c r="L145" s="533">
        <f t="shared" si="62"/>
        <v>1</v>
      </c>
    </row>
    <row r="146" spans="1:12" s="925" customFormat="1">
      <c r="A146" s="3401"/>
      <c r="B146" s="3401"/>
      <c r="C146" s="922" t="s">
        <v>443</v>
      </c>
      <c r="D146" s="923" t="s">
        <v>340</v>
      </c>
      <c r="E146" s="535">
        <v>45000</v>
      </c>
      <c r="F146" s="535">
        <v>45000</v>
      </c>
      <c r="G146" s="535">
        <v>40000</v>
      </c>
      <c r="H146" s="629">
        <f t="shared" si="50"/>
        <v>0.88888888888888884</v>
      </c>
      <c r="I146" s="647">
        <v>0</v>
      </c>
      <c r="J146" s="531">
        <f t="shared" si="64"/>
        <v>40000</v>
      </c>
      <c r="K146" s="603"/>
      <c r="L146" s="533">
        <f t="shared" si="62"/>
        <v>0.88888888888888884</v>
      </c>
    </row>
    <row r="147" spans="1:12">
      <c r="A147" s="3401"/>
      <c r="B147" s="3404"/>
      <c r="C147" s="926" t="s">
        <v>444</v>
      </c>
      <c r="D147" s="923" t="s">
        <v>341</v>
      </c>
      <c r="E147" s="535">
        <v>30000</v>
      </c>
      <c r="F147" s="535">
        <v>30000</v>
      </c>
      <c r="G147" s="535">
        <v>20000</v>
      </c>
      <c r="H147" s="629">
        <f t="shared" si="50"/>
        <v>0.66666666666666663</v>
      </c>
      <c r="I147" s="647">
        <v>0</v>
      </c>
      <c r="J147" s="531">
        <f t="shared" si="64"/>
        <v>20000</v>
      </c>
      <c r="K147" s="603"/>
      <c r="L147" s="533">
        <f t="shared" si="62"/>
        <v>0.66666666666666663</v>
      </c>
    </row>
    <row r="148" spans="1:12">
      <c r="A148" s="3401"/>
      <c r="B148" s="3405" t="s">
        <v>382</v>
      </c>
      <c r="C148" s="3381"/>
      <c r="D148" s="823"/>
      <c r="E148" s="538">
        <f>SUM(E149:E150)</f>
        <v>3001800</v>
      </c>
      <c r="F148" s="538">
        <f>SUM(F149:F150)</f>
        <v>3001800</v>
      </c>
      <c r="G148" s="538">
        <f>SUM(G149:G150)</f>
        <v>3001600</v>
      </c>
      <c r="H148" s="620">
        <f t="shared" si="50"/>
        <v>0.99993337330934773</v>
      </c>
      <c r="I148" s="538">
        <f>SUM(I149:I150)</f>
        <v>0</v>
      </c>
      <c r="J148" s="538">
        <f>SUM(J149:J150)</f>
        <v>3001600</v>
      </c>
      <c r="K148" s="540"/>
      <c r="L148" s="693">
        <f t="shared" si="62"/>
        <v>0.99993337330934773</v>
      </c>
    </row>
    <row r="149" spans="1:12" ht="25.5">
      <c r="A149" s="3401"/>
      <c r="B149" s="3406"/>
      <c r="C149" s="927" t="s">
        <v>445</v>
      </c>
      <c r="D149" s="842" t="s">
        <v>446</v>
      </c>
      <c r="E149" s="535">
        <v>1800</v>
      </c>
      <c r="F149" s="535">
        <v>1800</v>
      </c>
      <c r="G149" s="535">
        <v>1600</v>
      </c>
      <c r="H149" s="629">
        <f t="shared" si="50"/>
        <v>0.88888888888888884</v>
      </c>
      <c r="I149" s="647">
        <v>0</v>
      </c>
      <c r="J149" s="531">
        <f t="shared" ref="J149:J150" si="65">SUM(G149,I149)</f>
        <v>1600</v>
      </c>
      <c r="K149" s="532"/>
      <c r="L149" s="533">
        <f t="shared" si="62"/>
        <v>0.88888888888888884</v>
      </c>
    </row>
    <row r="150" spans="1:12" ht="26.25" thickBot="1">
      <c r="A150" s="3402"/>
      <c r="B150" s="3370"/>
      <c r="C150" s="786" t="s">
        <v>447</v>
      </c>
      <c r="D150" s="928" t="s">
        <v>448</v>
      </c>
      <c r="E150" s="634">
        <v>3000000</v>
      </c>
      <c r="F150" s="535">
        <v>3000000</v>
      </c>
      <c r="G150" s="535">
        <v>3000000</v>
      </c>
      <c r="H150" s="629">
        <f t="shared" si="50"/>
        <v>1</v>
      </c>
      <c r="I150" s="647">
        <v>0</v>
      </c>
      <c r="J150" s="531">
        <f t="shared" si="65"/>
        <v>3000000</v>
      </c>
      <c r="K150" s="568" t="s">
        <v>449</v>
      </c>
      <c r="L150" s="780">
        <f t="shared" si="62"/>
        <v>1</v>
      </c>
    </row>
    <row r="151" spans="1:12" ht="15.75" thickBot="1">
      <c r="A151" s="889">
        <v>710</v>
      </c>
      <c r="B151" s="929"/>
      <c r="C151" s="891" t="s">
        <v>17</v>
      </c>
      <c r="D151" s="892"/>
      <c r="E151" s="509">
        <f>SUM(E152,E159,E163,E171)</f>
        <v>435466</v>
      </c>
      <c r="F151" s="509">
        <f>SUM(F152,F159,F163,F171)</f>
        <v>465104</v>
      </c>
      <c r="G151" s="509">
        <f>SUM(G152,G159,G163,G171)</f>
        <v>443308</v>
      </c>
      <c r="H151" s="732">
        <f t="shared" si="50"/>
        <v>1.0180082945626066</v>
      </c>
      <c r="I151" s="509">
        <f>SUM(I152,I159,I163,I171)</f>
        <v>12000</v>
      </c>
      <c r="J151" s="509">
        <f>SUM(J152,J159,J163,J171)</f>
        <v>455308</v>
      </c>
      <c r="K151" s="642"/>
      <c r="L151" s="643">
        <f t="shared" si="62"/>
        <v>0.97893804396436068</v>
      </c>
    </row>
    <row r="152" spans="1:12" ht="15.75" thickBot="1">
      <c r="A152" s="3391"/>
      <c r="B152" s="930">
        <v>71003</v>
      </c>
      <c r="C152" s="918" t="s">
        <v>450</v>
      </c>
      <c r="D152" s="919"/>
      <c r="E152" s="518">
        <f>SUM(E153,E157)</f>
        <v>40000</v>
      </c>
      <c r="F152" s="518">
        <f>SUM(F153,F157)</f>
        <v>40000</v>
      </c>
      <c r="G152" s="518">
        <f>SUM(G153,G157)</f>
        <v>48000</v>
      </c>
      <c r="H152" s="616">
        <f t="shared" si="50"/>
        <v>1.2</v>
      </c>
      <c r="I152" s="518">
        <f>SUM(I153,I157)</f>
        <v>0</v>
      </c>
      <c r="J152" s="518">
        <f>SUM(J153,J157)</f>
        <v>48000</v>
      </c>
      <c r="K152" s="552"/>
      <c r="L152" s="553">
        <f t="shared" si="62"/>
        <v>1.2</v>
      </c>
    </row>
    <row r="153" spans="1:12">
      <c r="A153" s="3392"/>
      <c r="B153" s="3394" t="s">
        <v>338</v>
      </c>
      <c r="C153" s="3386"/>
      <c r="D153" s="823"/>
      <c r="E153" s="524">
        <f>SUM(E154:E156)</f>
        <v>40000</v>
      </c>
      <c r="F153" s="524">
        <f>SUM(F154:F156)</f>
        <v>40000</v>
      </c>
      <c r="G153" s="524">
        <f>SUM(G154:G156)</f>
        <v>48000</v>
      </c>
      <c r="H153" s="800">
        <f t="shared" si="50"/>
        <v>1.2</v>
      </c>
      <c r="I153" s="524">
        <f>SUM(I154:I156)</f>
        <v>0</v>
      </c>
      <c r="J153" s="524">
        <f>SUM(J154:J156)</f>
        <v>48000</v>
      </c>
      <c r="K153" s="931"/>
      <c r="L153" s="556">
        <f t="shared" si="62"/>
        <v>1.2</v>
      </c>
    </row>
    <row r="154" spans="1:12">
      <c r="A154" s="3392"/>
      <c r="B154" s="3387"/>
      <c r="C154" s="3395" t="s">
        <v>451</v>
      </c>
      <c r="D154" s="822" t="s">
        <v>340</v>
      </c>
      <c r="E154" s="535">
        <v>3000</v>
      </c>
      <c r="F154" s="535">
        <v>3000</v>
      </c>
      <c r="G154" s="535">
        <v>3100</v>
      </c>
      <c r="H154" s="629">
        <f t="shared" si="50"/>
        <v>1.0333333333333334</v>
      </c>
      <c r="I154" s="647">
        <v>0</v>
      </c>
      <c r="J154" s="531">
        <f t="shared" ref="J154:J156" si="66">SUM(G154,I154)</f>
        <v>3100</v>
      </c>
      <c r="K154" s="532"/>
      <c r="L154" s="533">
        <f t="shared" si="62"/>
        <v>1.0333333333333334</v>
      </c>
    </row>
    <row r="155" spans="1:12">
      <c r="A155" s="3392"/>
      <c r="B155" s="3388"/>
      <c r="C155" s="3396"/>
      <c r="D155" s="928" t="s">
        <v>341</v>
      </c>
      <c r="E155" s="535">
        <v>36400</v>
      </c>
      <c r="F155" s="535">
        <v>36400</v>
      </c>
      <c r="G155" s="535">
        <v>44200</v>
      </c>
      <c r="H155" s="629">
        <f t="shared" si="50"/>
        <v>1.2142857142857142</v>
      </c>
      <c r="I155" s="647">
        <v>0</v>
      </c>
      <c r="J155" s="531">
        <f t="shared" si="66"/>
        <v>44200</v>
      </c>
      <c r="K155" s="532"/>
      <c r="L155" s="533">
        <f t="shared" si="62"/>
        <v>1.2142857142857142</v>
      </c>
    </row>
    <row r="156" spans="1:12">
      <c r="A156" s="3392"/>
      <c r="B156" s="3388"/>
      <c r="C156" s="3396"/>
      <c r="D156" s="923" t="s">
        <v>342</v>
      </c>
      <c r="E156" s="535">
        <v>600</v>
      </c>
      <c r="F156" s="535">
        <v>600</v>
      </c>
      <c r="G156" s="535">
        <v>700</v>
      </c>
      <c r="H156" s="629">
        <f t="shared" si="50"/>
        <v>1.1666666666666667</v>
      </c>
      <c r="I156" s="647">
        <v>0</v>
      </c>
      <c r="J156" s="531">
        <f t="shared" si="66"/>
        <v>700</v>
      </c>
      <c r="K156" s="532"/>
      <c r="L156" s="533">
        <f t="shared" si="62"/>
        <v>1.1666666666666667</v>
      </c>
    </row>
    <row r="157" spans="1:12" ht="17.25" customHeight="1" thickBot="1">
      <c r="A157" s="3392"/>
      <c r="B157" s="3397" t="s">
        <v>343</v>
      </c>
      <c r="C157" s="3398"/>
      <c r="D157" s="932"/>
      <c r="E157" s="933">
        <f>SUM(E158)</f>
        <v>0</v>
      </c>
      <c r="F157" s="933">
        <f>SUM(F158)</f>
        <v>0</v>
      </c>
      <c r="G157" s="933">
        <f>SUM(G158)</f>
        <v>0</v>
      </c>
      <c r="H157" s="934"/>
      <c r="I157" s="933">
        <f>SUM(I158)</f>
        <v>0</v>
      </c>
      <c r="J157" s="933">
        <f>SUM(J158)</f>
        <v>0</v>
      </c>
      <c r="K157" s="935"/>
      <c r="L157" s="541"/>
    </row>
    <row r="158" spans="1:12" ht="30" hidden="1" customHeight="1" thickBot="1">
      <c r="A158" s="3393"/>
      <c r="B158" s="936"/>
      <c r="C158" s="937" t="s">
        <v>451</v>
      </c>
      <c r="D158" s="938"/>
      <c r="E158" s="698"/>
      <c r="F158" s="698"/>
      <c r="G158" s="698"/>
      <c r="H158" s="767" t="e">
        <f t="shared" si="50"/>
        <v>#DIV/0!</v>
      </c>
      <c r="I158" s="698"/>
      <c r="J158" s="698"/>
      <c r="K158" s="701"/>
      <c r="L158" s="549" t="e">
        <f t="shared" si="62"/>
        <v>#DIV/0!</v>
      </c>
    </row>
    <row r="159" spans="1:12" ht="15.75" customHeight="1" thickBot="1">
      <c r="A159" s="844"/>
      <c r="B159" s="939">
        <v>71005</v>
      </c>
      <c r="C159" s="940" t="s">
        <v>18</v>
      </c>
      <c r="D159" s="919"/>
      <c r="E159" s="656">
        <f t="shared" ref="E159:G159" si="67">SUM(E162,E160)</f>
        <v>316</v>
      </c>
      <c r="F159" s="656">
        <f t="shared" si="67"/>
        <v>316</v>
      </c>
      <c r="G159" s="656">
        <f t="shared" si="67"/>
        <v>158</v>
      </c>
      <c r="H159" s="781">
        <f t="shared" si="50"/>
        <v>0.5</v>
      </c>
      <c r="I159" s="656">
        <f t="shared" ref="I159:J159" si="68">SUM(I162,I160)</f>
        <v>0</v>
      </c>
      <c r="J159" s="656">
        <f t="shared" si="68"/>
        <v>158</v>
      </c>
      <c r="K159" s="658"/>
      <c r="L159" s="553">
        <f t="shared" si="62"/>
        <v>0.5</v>
      </c>
    </row>
    <row r="160" spans="1:12" ht="15" customHeight="1">
      <c r="A160" s="844"/>
      <c r="B160" s="3385" t="s">
        <v>338</v>
      </c>
      <c r="C160" s="3386"/>
      <c r="D160" s="920"/>
      <c r="E160" s="524">
        <f t="shared" ref="E160:J160" si="69">SUM(E161)</f>
        <v>316</v>
      </c>
      <c r="F160" s="524">
        <f t="shared" si="69"/>
        <v>316</v>
      </c>
      <c r="G160" s="524">
        <f t="shared" si="69"/>
        <v>158</v>
      </c>
      <c r="H160" s="800">
        <f t="shared" si="50"/>
        <v>0.5</v>
      </c>
      <c r="I160" s="524">
        <f t="shared" si="69"/>
        <v>0</v>
      </c>
      <c r="J160" s="524">
        <f t="shared" si="69"/>
        <v>158</v>
      </c>
      <c r="K160" s="931"/>
      <c r="L160" s="556">
        <f t="shared" si="62"/>
        <v>0.5</v>
      </c>
    </row>
    <row r="161" spans="1:55" ht="42.75" customHeight="1" thickBot="1">
      <c r="A161" s="863"/>
      <c r="B161" s="941"/>
      <c r="C161" s="942" t="s">
        <v>371</v>
      </c>
      <c r="D161" s="943">
        <v>2360</v>
      </c>
      <c r="E161" s="698">
        <v>316</v>
      </c>
      <c r="F161" s="698">
        <v>316</v>
      </c>
      <c r="G161" s="698">
        <v>158</v>
      </c>
      <c r="H161" s="767">
        <f t="shared" si="50"/>
        <v>0.5</v>
      </c>
      <c r="I161" s="768">
        <v>0</v>
      </c>
      <c r="J161" s="700">
        <f t="shared" ref="J161" si="70">SUM(G161,I161)</f>
        <v>158</v>
      </c>
      <c r="K161" s="701"/>
      <c r="L161" s="770">
        <f t="shared" si="62"/>
        <v>0.5</v>
      </c>
    </row>
    <row r="162" spans="1:55" ht="67.5" hidden="1" customHeight="1">
      <c r="A162" s="844"/>
      <c r="B162" s="3383" t="s">
        <v>343</v>
      </c>
      <c r="C162" s="3384"/>
      <c r="D162" s="796"/>
      <c r="E162" s="944">
        <v>0</v>
      </c>
      <c r="F162" s="944">
        <v>0</v>
      </c>
      <c r="G162" s="944">
        <v>0</v>
      </c>
      <c r="H162" s="907" t="e">
        <f t="shared" si="50"/>
        <v>#DIV/0!</v>
      </c>
      <c r="I162" s="908"/>
      <c r="J162" s="909"/>
      <c r="K162" s="708"/>
      <c r="L162" s="612" t="e">
        <f t="shared" si="62"/>
        <v>#DIV/0!</v>
      </c>
    </row>
    <row r="163" spans="1:55" ht="16.5" customHeight="1" thickBot="1">
      <c r="A163" s="844"/>
      <c r="B163" s="945">
        <v>71012</v>
      </c>
      <c r="C163" s="918" t="s">
        <v>19</v>
      </c>
      <c r="D163" s="919"/>
      <c r="E163" s="518">
        <f>SUM(E164,E170)</f>
        <v>395150</v>
      </c>
      <c r="F163" s="518">
        <f>SUM(F164,F170)</f>
        <v>424788</v>
      </c>
      <c r="G163" s="518">
        <f>SUM(G164,G170)</f>
        <v>395150</v>
      </c>
      <c r="H163" s="616">
        <f t="shared" si="50"/>
        <v>1</v>
      </c>
      <c r="I163" s="518">
        <f>SUM(I164,I170)</f>
        <v>12000</v>
      </c>
      <c r="J163" s="518">
        <f>SUM(J164,J170)</f>
        <v>407150</v>
      </c>
      <c r="K163" s="552"/>
      <c r="L163" s="553">
        <f t="shared" si="62"/>
        <v>0.95847811143440964</v>
      </c>
    </row>
    <row r="164" spans="1:55" ht="15.75" customHeight="1">
      <c r="A164" s="844"/>
      <c r="B164" s="3385" t="s">
        <v>338</v>
      </c>
      <c r="C164" s="3386"/>
      <c r="D164" s="920"/>
      <c r="E164" s="524">
        <f>SUM(E165:E169)</f>
        <v>395150</v>
      </c>
      <c r="F164" s="524">
        <f>SUM(F165:F169)</f>
        <v>424788</v>
      </c>
      <c r="G164" s="524">
        <f>SUM(G165:G169)</f>
        <v>395150</v>
      </c>
      <c r="H164" s="800">
        <f t="shared" si="50"/>
        <v>1</v>
      </c>
      <c r="I164" s="524">
        <f>SUM(I165:I169)</f>
        <v>12000</v>
      </c>
      <c r="J164" s="524">
        <f>SUM(J165:J169)</f>
        <v>407150</v>
      </c>
      <c r="K164" s="931"/>
      <c r="L164" s="556">
        <f t="shared" si="62"/>
        <v>0.95847811143440964</v>
      </c>
    </row>
    <row r="165" spans="1:55" ht="15.75" customHeight="1">
      <c r="A165" s="844"/>
      <c r="B165" s="3387"/>
      <c r="C165" s="3367" t="s">
        <v>452</v>
      </c>
      <c r="D165" s="928" t="s">
        <v>355</v>
      </c>
      <c r="E165" s="535">
        <v>9000</v>
      </c>
      <c r="F165" s="535">
        <v>9000</v>
      </c>
      <c r="G165" s="535">
        <v>9000</v>
      </c>
      <c r="H165" s="629">
        <f t="shared" si="50"/>
        <v>1</v>
      </c>
      <c r="I165" s="647">
        <v>0</v>
      </c>
      <c r="J165" s="531">
        <f t="shared" ref="J165:J169" si="71">SUM(G165,I165)</f>
        <v>9000</v>
      </c>
      <c r="K165" s="532"/>
      <c r="L165" s="533">
        <f t="shared" si="62"/>
        <v>1</v>
      </c>
    </row>
    <row r="166" spans="1:55">
      <c r="A166" s="844"/>
      <c r="B166" s="3388"/>
      <c r="C166" s="3369"/>
      <c r="D166" s="822" t="s">
        <v>342</v>
      </c>
      <c r="E166" s="535">
        <v>150</v>
      </c>
      <c r="F166" s="535">
        <v>150</v>
      </c>
      <c r="G166" s="535">
        <v>150</v>
      </c>
      <c r="H166" s="629">
        <f t="shared" si="50"/>
        <v>1</v>
      </c>
      <c r="I166" s="647">
        <v>0</v>
      </c>
      <c r="J166" s="531">
        <f t="shared" si="71"/>
        <v>150</v>
      </c>
      <c r="K166" s="532"/>
      <c r="L166" s="533">
        <f t="shared" si="62"/>
        <v>1</v>
      </c>
    </row>
    <row r="167" spans="1:55" ht="76.5" hidden="1">
      <c r="A167" s="844"/>
      <c r="B167" s="3388"/>
      <c r="C167" s="819" t="s">
        <v>453</v>
      </c>
      <c r="D167" s="793" t="s">
        <v>454</v>
      </c>
      <c r="E167" s="535">
        <v>0</v>
      </c>
      <c r="F167" s="535">
        <v>852</v>
      </c>
      <c r="G167" s="535">
        <v>0</v>
      </c>
      <c r="H167" s="629"/>
      <c r="I167" s="647">
        <v>0</v>
      </c>
      <c r="J167" s="531">
        <f t="shared" si="71"/>
        <v>0</v>
      </c>
      <c r="K167" s="532"/>
      <c r="L167" s="533">
        <f t="shared" si="62"/>
        <v>0</v>
      </c>
    </row>
    <row r="168" spans="1:55" s="948" customFormat="1" ht="38.25">
      <c r="A168" s="844"/>
      <c r="B168" s="3388"/>
      <c r="C168" s="946" t="s">
        <v>363</v>
      </c>
      <c r="D168" s="947" t="s">
        <v>455</v>
      </c>
      <c r="E168" s="535">
        <v>386000</v>
      </c>
      <c r="F168" s="535">
        <v>386000</v>
      </c>
      <c r="G168" s="535">
        <v>386000</v>
      </c>
      <c r="H168" s="629">
        <f t="shared" si="50"/>
        <v>1</v>
      </c>
      <c r="I168" s="647">
        <v>12000</v>
      </c>
      <c r="J168" s="531">
        <f t="shared" si="71"/>
        <v>398000</v>
      </c>
      <c r="K168" s="568" t="s">
        <v>351</v>
      </c>
      <c r="L168" s="533">
        <f t="shared" si="62"/>
        <v>1.0310880829015545</v>
      </c>
    </row>
    <row r="169" spans="1:55" ht="76.5" hidden="1">
      <c r="A169" s="844"/>
      <c r="B169" s="3389"/>
      <c r="C169" s="949" t="s">
        <v>456</v>
      </c>
      <c r="D169" s="923" t="s">
        <v>457</v>
      </c>
      <c r="E169" s="535">
        <v>0</v>
      </c>
      <c r="F169" s="535">
        <v>28786</v>
      </c>
      <c r="G169" s="535">
        <v>0</v>
      </c>
      <c r="H169" s="629"/>
      <c r="I169" s="647">
        <v>0</v>
      </c>
      <c r="J169" s="531">
        <f t="shared" si="71"/>
        <v>0</v>
      </c>
      <c r="K169" s="532"/>
      <c r="L169" s="533">
        <f t="shared" si="62"/>
        <v>0</v>
      </c>
    </row>
    <row r="170" spans="1:55" ht="15.75" thickBot="1">
      <c r="A170" s="863"/>
      <c r="B170" s="3365" t="s">
        <v>343</v>
      </c>
      <c r="C170" s="3390"/>
      <c r="D170" s="950"/>
      <c r="E170" s="573">
        <v>0</v>
      </c>
      <c r="F170" s="573">
        <v>0</v>
      </c>
      <c r="G170" s="573">
        <v>0</v>
      </c>
      <c r="H170" s="574"/>
      <c r="I170" s="573">
        <v>0</v>
      </c>
      <c r="J170" s="573">
        <v>0</v>
      </c>
      <c r="K170" s="575"/>
      <c r="L170" s="541"/>
    </row>
    <row r="171" spans="1:55" s="550" customFormat="1" ht="15.75" hidden="1" thickBot="1">
      <c r="A171" s="844"/>
      <c r="B171" s="951">
        <v>71095</v>
      </c>
      <c r="C171" s="952" t="s">
        <v>11</v>
      </c>
      <c r="D171" s="953"/>
      <c r="E171" s="870">
        <f t="shared" ref="E171" si="72">SUM(E172,E174)</f>
        <v>0</v>
      </c>
      <c r="F171" s="870"/>
      <c r="G171" s="870">
        <f t="shared" ref="G171:J195" si="73">E171+F171</f>
        <v>0</v>
      </c>
      <c r="H171" s="871"/>
      <c r="I171" s="870">
        <f t="shared" si="73"/>
        <v>0</v>
      </c>
      <c r="J171" s="870">
        <f t="shared" si="73"/>
        <v>0</v>
      </c>
      <c r="K171" s="954"/>
      <c r="L171" s="563" t="e">
        <f t="shared" si="62"/>
        <v>#DIV/0!</v>
      </c>
      <c r="M171" s="955"/>
      <c r="N171" s="955"/>
      <c r="O171" s="955"/>
      <c r="P171" s="955"/>
      <c r="Q171" s="955"/>
      <c r="R171" s="955"/>
      <c r="S171" s="955"/>
      <c r="T171" s="955"/>
      <c r="U171" s="955"/>
      <c r="V171" s="955"/>
      <c r="W171" s="955"/>
      <c r="X171" s="955"/>
      <c r="Y171" s="955"/>
      <c r="Z171" s="955"/>
      <c r="AA171" s="955"/>
      <c r="AB171" s="955"/>
      <c r="AC171" s="955"/>
      <c r="AD171" s="955"/>
      <c r="AE171" s="955"/>
      <c r="AF171" s="955"/>
      <c r="AG171" s="955"/>
      <c r="AH171" s="955"/>
      <c r="AI171" s="955"/>
      <c r="AJ171" s="955"/>
      <c r="AK171" s="955"/>
      <c r="AL171" s="955"/>
      <c r="AM171" s="955"/>
      <c r="AN171" s="955"/>
      <c r="AO171" s="955"/>
      <c r="AP171" s="955"/>
      <c r="AQ171" s="955"/>
      <c r="AR171" s="955"/>
      <c r="AS171" s="955"/>
      <c r="AT171" s="955"/>
      <c r="AU171" s="955"/>
      <c r="AV171" s="955"/>
      <c r="AW171" s="955"/>
      <c r="AX171" s="955"/>
      <c r="AY171" s="955"/>
      <c r="AZ171" s="955"/>
      <c r="BA171" s="955"/>
      <c r="BB171" s="955"/>
      <c r="BC171" s="955"/>
    </row>
    <row r="172" spans="1:55" ht="54" hidden="1" customHeight="1">
      <c r="A172" s="844"/>
      <c r="B172" s="3339" t="s">
        <v>338</v>
      </c>
      <c r="C172" s="3361"/>
      <c r="D172" s="920"/>
      <c r="E172" s="956">
        <f t="shared" ref="E172" si="74">SUM(E173)</f>
        <v>0</v>
      </c>
      <c r="F172" s="956"/>
      <c r="G172" s="956">
        <f t="shared" si="73"/>
        <v>0</v>
      </c>
      <c r="H172" s="957"/>
      <c r="I172" s="956">
        <f>G172+H172</f>
        <v>0</v>
      </c>
      <c r="J172" s="956">
        <f t="shared" si="73"/>
        <v>0</v>
      </c>
      <c r="K172" s="801"/>
      <c r="L172" s="563" t="e">
        <f t="shared" si="62"/>
        <v>#DIV/0!</v>
      </c>
    </row>
    <row r="173" spans="1:55" ht="57" hidden="1" customHeight="1">
      <c r="A173" s="844"/>
      <c r="B173" s="958"/>
      <c r="C173" s="959" t="s">
        <v>363</v>
      </c>
      <c r="D173" s="960">
        <v>2210</v>
      </c>
      <c r="E173" s="600">
        <v>0</v>
      </c>
      <c r="F173" s="600"/>
      <c r="G173" s="600">
        <f t="shared" si="73"/>
        <v>0</v>
      </c>
      <c r="H173" s="601"/>
      <c r="I173" s="600"/>
      <c r="J173" s="600"/>
      <c r="K173" s="603"/>
      <c r="L173" s="563" t="e">
        <f t="shared" si="62"/>
        <v>#DIV/0!</v>
      </c>
    </row>
    <row r="174" spans="1:55" ht="16.5" hidden="1" customHeight="1" thickBot="1">
      <c r="A174" s="844"/>
      <c r="B174" s="3380" t="s">
        <v>343</v>
      </c>
      <c r="C174" s="3381"/>
      <c r="D174" s="961"/>
      <c r="E174" s="962">
        <v>0</v>
      </c>
      <c r="F174" s="962"/>
      <c r="G174" s="962">
        <f t="shared" si="73"/>
        <v>0</v>
      </c>
      <c r="H174" s="963"/>
      <c r="I174" s="962">
        <f t="shared" si="73"/>
        <v>0</v>
      </c>
      <c r="J174" s="962">
        <f t="shared" si="73"/>
        <v>0</v>
      </c>
      <c r="K174" s="964"/>
      <c r="L174" s="549" t="e">
        <f t="shared" si="62"/>
        <v>#DIV/0!</v>
      </c>
    </row>
    <row r="175" spans="1:55" ht="15.75" thickBot="1">
      <c r="A175" s="727">
        <v>720</v>
      </c>
      <c r="B175" s="729"/>
      <c r="C175" s="965" t="s">
        <v>458</v>
      </c>
      <c r="D175" s="966"/>
      <c r="E175" s="653">
        <f t="shared" ref="E175:J175" si="75">SUM(E176)</f>
        <v>5535000</v>
      </c>
      <c r="F175" s="653">
        <f t="shared" si="75"/>
        <v>5535000</v>
      </c>
      <c r="G175" s="653">
        <f t="shared" si="75"/>
        <v>4742265</v>
      </c>
      <c r="H175" s="967">
        <f t="shared" ref="H175:H237" si="76">G175/E175</f>
        <v>0.85677777777777775</v>
      </c>
      <c r="I175" s="653">
        <f t="shared" si="75"/>
        <v>0</v>
      </c>
      <c r="J175" s="653">
        <f t="shared" si="75"/>
        <v>4742265</v>
      </c>
      <c r="K175" s="968"/>
      <c r="L175" s="643">
        <f t="shared" si="62"/>
        <v>0.85677777777777775</v>
      </c>
    </row>
    <row r="176" spans="1:55" ht="15.75" thickBot="1">
      <c r="A176" s="3382"/>
      <c r="B176" s="735">
        <v>72095</v>
      </c>
      <c r="C176" s="736" t="s">
        <v>11</v>
      </c>
      <c r="D176" s="919"/>
      <c r="E176" s="518">
        <f>SUM(E177,E179)</f>
        <v>5535000</v>
      </c>
      <c r="F176" s="518">
        <f>SUM(F177,F179)</f>
        <v>5535000</v>
      </c>
      <c r="G176" s="518">
        <f>SUM(G177,G179)</f>
        <v>4742265</v>
      </c>
      <c r="H176" s="969">
        <f t="shared" si="76"/>
        <v>0.85677777777777775</v>
      </c>
      <c r="I176" s="518">
        <f>SUM(I177,I179)</f>
        <v>0</v>
      </c>
      <c r="J176" s="518">
        <f>SUM(J177,J179)</f>
        <v>4742265</v>
      </c>
      <c r="K176" s="970"/>
      <c r="L176" s="553">
        <f t="shared" si="62"/>
        <v>0.85677777777777775</v>
      </c>
    </row>
    <row r="177" spans="1:12" s="925" customFormat="1">
      <c r="A177" s="3358"/>
      <c r="B177" s="3355" t="s">
        <v>338</v>
      </c>
      <c r="C177" s="3357"/>
      <c r="D177" s="791"/>
      <c r="E177" s="555">
        <f>SUM(E178:E178)</f>
        <v>5535000</v>
      </c>
      <c r="F177" s="555">
        <f>SUM(F178:F178)</f>
        <v>5535000</v>
      </c>
      <c r="G177" s="555">
        <f>SUM(G178:G178)</f>
        <v>4742265</v>
      </c>
      <c r="H177" s="971">
        <f t="shared" si="76"/>
        <v>0.85677777777777775</v>
      </c>
      <c r="I177" s="555">
        <f>SUM(I178:I178)</f>
        <v>0</v>
      </c>
      <c r="J177" s="555">
        <f>SUM(J178:J178)</f>
        <v>4742265</v>
      </c>
      <c r="K177" s="972"/>
      <c r="L177" s="556">
        <f t="shared" si="62"/>
        <v>0.85677777777777775</v>
      </c>
    </row>
    <row r="178" spans="1:12" ht="51.75" customHeight="1">
      <c r="A178" s="3358"/>
      <c r="B178" s="973"/>
      <c r="C178" s="974" t="s">
        <v>459</v>
      </c>
      <c r="D178" s="751" t="s">
        <v>342</v>
      </c>
      <c r="E178" s="535">
        <v>5535000</v>
      </c>
      <c r="F178" s="535">
        <v>5535000</v>
      </c>
      <c r="G178" s="535">
        <v>4742265</v>
      </c>
      <c r="H178" s="629">
        <f t="shared" si="76"/>
        <v>0.85677777777777775</v>
      </c>
      <c r="I178" s="647">
        <v>0</v>
      </c>
      <c r="J178" s="531">
        <f t="shared" ref="J178" si="77">SUM(G178,I178)</f>
        <v>4742265</v>
      </c>
      <c r="K178" s="532"/>
      <c r="L178" s="533">
        <f t="shared" si="62"/>
        <v>0.85677777777777775</v>
      </c>
    </row>
    <row r="179" spans="1:12" ht="15.75" thickBot="1">
      <c r="A179" s="3358"/>
      <c r="B179" s="3380" t="s">
        <v>343</v>
      </c>
      <c r="C179" s="3381"/>
      <c r="D179" s="975"/>
      <c r="E179" s="538">
        <f>E180</f>
        <v>0</v>
      </c>
      <c r="F179" s="538">
        <f t="shared" ref="F179:J179" si="78">F180</f>
        <v>0</v>
      </c>
      <c r="G179" s="538">
        <f t="shared" si="78"/>
        <v>0</v>
      </c>
      <c r="H179" s="620"/>
      <c r="I179" s="538">
        <f t="shared" si="78"/>
        <v>0</v>
      </c>
      <c r="J179" s="538">
        <f t="shared" si="78"/>
        <v>0</v>
      </c>
      <c r="K179" s="540"/>
      <c r="L179" s="541"/>
    </row>
    <row r="180" spans="1:12" ht="15.75" hidden="1" thickBot="1">
      <c r="A180" s="976"/>
      <c r="B180" s="977"/>
      <c r="C180" s="978" t="s">
        <v>460</v>
      </c>
      <c r="D180" s="979" t="s">
        <v>461</v>
      </c>
      <c r="E180" s="980">
        <v>0</v>
      </c>
      <c r="F180" s="980">
        <v>0</v>
      </c>
      <c r="G180" s="980">
        <v>0</v>
      </c>
      <c r="H180" s="981" t="e">
        <f t="shared" si="76"/>
        <v>#DIV/0!</v>
      </c>
      <c r="I180" s="980">
        <v>0</v>
      </c>
      <c r="J180" s="980">
        <v>0</v>
      </c>
      <c r="K180" s="982"/>
      <c r="L180" s="549" t="e">
        <f t="shared" si="62"/>
        <v>#DIV/0!</v>
      </c>
    </row>
    <row r="181" spans="1:12" ht="15.75" thickBot="1">
      <c r="A181" s="983">
        <v>730</v>
      </c>
      <c r="B181" s="984"/>
      <c r="C181" s="985" t="s">
        <v>462</v>
      </c>
      <c r="D181" s="507"/>
      <c r="E181" s="653">
        <f>SUM(E182,E187,E193)</f>
        <v>175679</v>
      </c>
      <c r="F181" s="653">
        <f>SUM(F182,F187,F193)</f>
        <v>175679</v>
      </c>
      <c r="G181" s="653">
        <f>SUM(G182,G187,G193)</f>
        <v>97274</v>
      </c>
      <c r="H181" s="986">
        <f t="shared" si="76"/>
        <v>0.55370306069592834</v>
      </c>
      <c r="I181" s="653">
        <f>SUM(I182,I187,I193)</f>
        <v>0</v>
      </c>
      <c r="J181" s="653">
        <f>SUM(J182,J187,J193)</f>
        <v>97274</v>
      </c>
      <c r="K181" s="655"/>
      <c r="L181" s="643">
        <f t="shared" si="62"/>
        <v>0.55370306069592834</v>
      </c>
    </row>
    <row r="182" spans="1:12" ht="39.75" hidden="1" customHeight="1" thickBot="1">
      <c r="A182" s="987"/>
      <c r="B182" s="988">
        <v>73016</v>
      </c>
      <c r="C182" s="989" t="s">
        <v>463</v>
      </c>
      <c r="D182" s="990"/>
      <c r="E182" s="911">
        <f>E183+E186</f>
        <v>0</v>
      </c>
      <c r="F182" s="911">
        <f>F183+F186</f>
        <v>0</v>
      </c>
      <c r="G182" s="911">
        <f>G183+G186</f>
        <v>0</v>
      </c>
      <c r="H182" s="969" t="e">
        <f t="shared" si="76"/>
        <v>#DIV/0!</v>
      </c>
      <c r="I182" s="911">
        <f>I183+I186</f>
        <v>0</v>
      </c>
      <c r="J182" s="911">
        <f>J183+J186</f>
        <v>0</v>
      </c>
      <c r="K182" s="970"/>
      <c r="L182" s="772" t="e">
        <f t="shared" si="62"/>
        <v>#DIV/0!</v>
      </c>
    </row>
    <row r="183" spans="1:12" ht="20.25" hidden="1" customHeight="1">
      <c r="A183" s="987"/>
      <c r="B183" s="3372" t="s">
        <v>338</v>
      </c>
      <c r="C183" s="3373"/>
      <c r="D183" s="991"/>
      <c r="E183" s="677">
        <f>SUM(E184:E185)</f>
        <v>0</v>
      </c>
      <c r="F183" s="677">
        <f>SUM(F184:F185)</f>
        <v>0</v>
      </c>
      <c r="G183" s="677">
        <f>SUM(G184:G185)</f>
        <v>0</v>
      </c>
      <c r="H183" s="971" t="e">
        <f t="shared" si="76"/>
        <v>#DIV/0!</v>
      </c>
      <c r="I183" s="677">
        <f>SUM(I184:I185)</f>
        <v>0</v>
      </c>
      <c r="J183" s="677">
        <f>SUM(J184:J185)</f>
        <v>0</v>
      </c>
      <c r="K183" s="972"/>
      <c r="L183" s="563" t="e">
        <f t="shared" si="62"/>
        <v>#DIV/0!</v>
      </c>
    </row>
    <row r="184" spans="1:12" ht="22.5" hidden="1" customHeight="1">
      <c r="A184" s="987"/>
      <c r="B184" s="992"/>
      <c r="C184" s="993" t="s">
        <v>464</v>
      </c>
      <c r="D184" s="994" t="s">
        <v>357</v>
      </c>
      <c r="E184" s="529">
        <v>0</v>
      </c>
      <c r="F184" s="529">
        <v>0</v>
      </c>
      <c r="G184" s="529">
        <v>0</v>
      </c>
      <c r="H184" s="666" t="e">
        <f t="shared" si="76"/>
        <v>#DIV/0!</v>
      </c>
      <c r="I184" s="529">
        <v>0</v>
      </c>
      <c r="J184" s="529">
        <v>0</v>
      </c>
      <c r="K184" s="668"/>
      <c r="L184" s="563" t="e">
        <f t="shared" si="62"/>
        <v>#DIV/0!</v>
      </c>
    </row>
    <row r="185" spans="1:12" ht="39" hidden="1" thickBot="1">
      <c r="A185" s="987"/>
      <c r="B185" s="992"/>
      <c r="C185" s="686" t="s">
        <v>465</v>
      </c>
      <c r="D185" s="528" t="s">
        <v>362</v>
      </c>
      <c r="E185" s="529">
        <v>0</v>
      </c>
      <c r="F185" s="529">
        <v>0</v>
      </c>
      <c r="G185" s="529"/>
      <c r="H185" s="746" t="e">
        <f t="shared" si="76"/>
        <v>#DIV/0!</v>
      </c>
      <c r="I185" s="529"/>
      <c r="J185" s="529"/>
      <c r="K185" s="995"/>
      <c r="L185" s="563" t="e">
        <f t="shared" si="62"/>
        <v>#DIV/0!</v>
      </c>
    </row>
    <row r="186" spans="1:12" ht="15.75" hidden="1" thickBot="1">
      <c r="A186" s="996"/>
      <c r="B186" s="3365" t="s">
        <v>343</v>
      </c>
      <c r="C186" s="3366"/>
      <c r="D186" s="997"/>
      <c r="E186" s="573">
        <v>0</v>
      </c>
      <c r="F186" s="573">
        <v>0</v>
      </c>
      <c r="G186" s="573">
        <v>0</v>
      </c>
      <c r="H186" s="797" t="e">
        <f t="shared" si="76"/>
        <v>#DIV/0!</v>
      </c>
      <c r="I186" s="573">
        <v>0</v>
      </c>
      <c r="J186" s="573">
        <v>0</v>
      </c>
      <c r="K186" s="575"/>
      <c r="L186" s="563" t="e">
        <f t="shared" si="62"/>
        <v>#DIV/0!</v>
      </c>
    </row>
    <row r="187" spans="1:12" ht="26.25" hidden="1" thickBot="1">
      <c r="A187" s="987"/>
      <c r="B187" s="998">
        <v>73090</v>
      </c>
      <c r="C187" s="999" t="s">
        <v>466</v>
      </c>
      <c r="D187" s="517"/>
      <c r="E187" s="656">
        <f>E188+E192</f>
        <v>0</v>
      </c>
      <c r="F187" s="656">
        <f>F188+F192</f>
        <v>0</v>
      </c>
      <c r="G187" s="656">
        <f>G188+G192</f>
        <v>0</v>
      </c>
      <c r="H187" s="781" t="e">
        <f t="shared" si="76"/>
        <v>#DIV/0!</v>
      </c>
      <c r="I187" s="656">
        <f>I188+I192</f>
        <v>0</v>
      </c>
      <c r="J187" s="656">
        <f>J188+J192</f>
        <v>0</v>
      </c>
      <c r="K187" s="658"/>
      <c r="L187" s="563" t="e">
        <f t="shared" si="62"/>
        <v>#DIV/0!</v>
      </c>
    </row>
    <row r="188" spans="1:12" ht="51" hidden="1" customHeight="1">
      <c r="A188" s="987"/>
      <c r="B188" s="3372" t="s">
        <v>338</v>
      </c>
      <c r="C188" s="3373"/>
      <c r="D188" s="991"/>
      <c r="E188" s="677">
        <f>SUM(E189:E191)</f>
        <v>0</v>
      </c>
      <c r="F188" s="677">
        <f>SUM(F189:F191)</f>
        <v>0</v>
      </c>
      <c r="G188" s="677">
        <f>SUM(G189:G191)</f>
        <v>0</v>
      </c>
      <c r="H188" s="1000" t="e">
        <f t="shared" si="76"/>
        <v>#DIV/0!</v>
      </c>
      <c r="I188" s="677">
        <f>SUM(I189:I191)</f>
        <v>0</v>
      </c>
      <c r="J188" s="677">
        <f>SUM(J189:J191)</f>
        <v>0</v>
      </c>
      <c r="K188" s="680"/>
      <c r="L188" s="563" t="e">
        <f t="shared" si="62"/>
        <v>#DIV/0!</v>
      </c>
    </row>
    <row r="189" spans="1:12" ht="41.25" hidden="1" customHeight="1">
      <c r="A189" s="987"/>
      <c r="B189" s="3374"/>
      <c r="C189" s="993" t="s">
        <v>467</v>
      </c>
      <c r="D189" s="994" t="s">
        <v>468</v>
      </c>
      <c r="E189" s="529">
        <v>0</v>
      </c>
      <c r="F189" s="529">
        <v>0</v>
      </c>
      <c r="G189" s="529"/>
      <c r="H189" s="746" t="e">
        <f t="shared" si="76"/>
        <v>#DIV/0!</v>
      </c>
      <c r="I189" s="529"/>
      <c r="J189" s="529"/>
      <c r="K189" s="995"/>
      <c r="L189" s="563" t="e">
        <f t="shared" si="62"/>
        <v>#DIV/0!</v>
      </c>
    </row>
    <row r="190" spans="1:12" ht="22.5" hidden="1" customHeight="1">
      <c r="A190" s="987"/>
      <c r="B190" s="3374"/>
      <c r="C190" s="3375" t="s">
        <v>469</v>
      </c>
      <c r="D190" s="994" t="s">
        <v>470</v>
      </c>
      <c r="E190" s="529">
        <v>0</v>
      </c>
      <c r="F190" s="529">
        <v>0</v>
      </c>
      <c r="G190" s="529"/>
      <c r="H190" s="746" t="e">
        <f t="shared" si="76"/>
        <v>#DIV/0!</v>
      </c>
      <c r="I190" s="529"/>
      <c r="J190" s="529"/>
      <c r="K190" s="995"/>
      <c r="L190" s="563" t="e">
        <f t="shared" si="62"/>
        <v>#DIV/0!</v>
      </c>
    </row>
    <row r="191" spans="1:12" ht="22.5" hidden="1" customHeight="1">
      <c r="A191" s="3377"/>
      <c r="B191" s="3374"/>
      <c r="C191" s="3376"/>
      <c r="D191" s="994" t="s">
        <v>471</v>
      </c>
      <c r="E191" s="529">
        <v>0</v>
      </c>
      <c r="F191" s="529">
        <v>0</v>
      </c>
      <c r="G191" s="529"/>
      <c r="H191" s="746" t="e">
        <f t="shared" si="76"/>
        <v>#DIV/0!</v>
      </c>
      <c r="I191" s="529"/>
      <c r="J191" s="529"/>
      <c r="K191" s="995"/>
      <c r="L191" s="563" t="e">
        <f t="shared" si="62"/>
        <v>#DIV/0!</v>
      </c>
    </row>
    <row r="192" spans="1:12" ht="15.75" hidden="1" customHeight="1" thickBot="1">
      <c r="A192" s="3377"/>
      <c r="B192" s="3365" t="s">
        <v>343</v>
      </c>
      <c r="C192" s="3366"/>
      <c r="D192" s="997"/>
      <c r="E192" s="573">
        <v>0</v>
      </c>
      <c r="F192" s="573">
        <v>0</v>
      </c>
      <c r="G192" s="573">
        <v>0</v>
      </c>
      <c r="H192" s="797" t="e">
        <f t="shared" si="76"/>
        <v>#DIV/0!</v>
      </c>
      <c r="I192" s="573">
        <v>0</v>
      </c>
      <c r="J192" s="573">
        <v>0</v>
      </c>
      <c r="K192" s="575"/>
      <c r="L192" s="549" t="e">
        <f t="shared" si="62"/>
        <v>#DIV/0!</v>
      </c>
    </row>
    <row r="193" spans="1:12" ht="15.75" thickBot="1">
      <c r="A193" s="3377"/>
      <c r="B193" s="998">
        <v>73095</v>
      </c>
      <c r="C193" s="999" t="s">
        <v>11</v>
      </c>
      <c r="D193" s="517"/>
      <c r="E193" s="656">
        <f>SUM(E194,E199)</f>
        <v>175679</v>
      </c>
      <c r="F193" s="656">
        <f t="shared" ref="F193:G193" si="79">SUM(F194,F199)</f>
        <v>175679</v>
      </c>
      <c r="G193" s="656">
        <f t="shared" si="79"/>
        <v>97274</v>
      </c>
      <c r="H193" s="781">
        <f t="shared" si="76"/>
        <v>0.55370306069592834</v>
      </c>
      <c r="I193" s="656">
        <f t="shared" ref="I193:J193" si="80">SUM(I194,I199)</f>
        <v>0</v>
      </c>
      <c r="J193" s="656">
        <f t="shared" si="80"/>
        <v>97274</v>
      </c>
      <c r="K193" s="658"/>
      <c r="L193" s="553">
        <f t="shared" si="62"/>
        <v>0.55370306069592834</v>
      </c>
    </row>
    <row r="194" spans="1:12">
      <c r="A194" s="3377"/>
      <c r="B194" s="3332" t="s">
        <v>338</v>
      </c>
      <c r="C194" s="3379"/>
      <c r="D194" s="1001"/>
      <c r="E194" s="524">
        <f>SUM(E195:E198)</f>
        <v>175679</v>
      </c>
      <c r="F194" s="524">
        <f t="shared" ref="F194:G194" si="81">SUM(F195:F198)</f>
        <v>175679</v>
      </c>
      <c r="G194" s="524">
        <f t="shared" si="81"/>
        <v>97274</v>
      </c>
      <c r="H194" s="800">
        <f t="shared" si="76"/>
        <v>0.55370306069592834</v>
      </c>
      <c r="I194" s="524">
        <f t="shared" ref="I194:J194" si="82">SUM(I195:I198)</f>
        <v>0</v>
      </c>
      <c r="J194" s="524">
        <f t="shared" si="82"/>
        <v>97274</v>
      </c>
      <c r="K194" s="931"/>
      <c r="L194" s="556">
        <f t="shared" si="62"/>
        <v>0.55370306069592834</v>
      </c>
    </row>
    <row r="195" spans="1:12" ht="63.75" hidden="1" customHeight="1">
      <c r="A195" s="3377"/>
      <c r="B195" s="3334"/>
      <c r="C195" s="1002" t="s">
        <v>472</v>
      </c>
      <c r="D195" s="528" t="s">
        <v>470</v>
      </c>
      <c r="E195" s="535">
        <v>0</v>
      </c>
      <c r="F195" s="535"/>
      <c r="G195" s="535">
        <f t="shared" si="73"/>
        <v>0</v>
      </c>
      <c r="H195" s="629" t="e">
        <f t="shared" si="76"/>
        <v>#DIV/0!</v>
      </c>
      <c r="I195" s="647"/>
      <c r="J195" s="647"/>
      <c r="K195" s="532"/>
      <c r="L195" s="563" t="e">
        <f t="shared" si="62"/>
        <v>#DIV/0!</v>
      </c>
    </row>
    <row r="196" spans="1:12" ht="69" customHeight="1">
      <c r="A196" s="3377"/>
      <c r="B196" s="3335"/>
      <c r="C196" s="1003" t="s">
        <v>473</v>
      </c>
      <c r="D196" s="3363" t="s">
        <v>474</v>
      </c>
      <c r="E196" s="535">
        <v>175679</v>
      </c>
      <c r="F196" s="535">
        <v>175679</v>
      </c>
      <c r="G196" s="535">
        <v>97274</v>
      </c>
      <c r="H196" s="629">
        <f t="shared" si="76"/>
        <v>0.55370306069592834</v>
      </c>
      <c r="I196" s="647">
        <v>0</v>
      </c>
      <c r="J196" s="531">
        <f t="shared" ref="J196" si="83">SUM(G196,I196)</f>
        <v>97274</v>
      </c>
      <c r="K196" s="532"/>
      <c r="L196" s="533">
        <f t="shared" si="62"/>
        <v>0.55370306069592834</v>
      </c>
    </row>
    <row r="197" spans="1:12" ht="52.5" hidden="1" customHeight="1">
      <c r="A197" s="3377"/>
      <c r="B197" s="3335"/>
      <c r="C197" s="1003" t="s">
        <v>475</v>
      </c>
      <c r="D197" s="3364"/>
      <c r="E197" s="535">
        <v>0</v>
      </c>
      <c r="F197" s="535">
        <v>0</v>
      </c>
      <c r="G197" s="535">
        <v>0</v>
      </c>
      <c r="H197" s="629" t="e">
        <f t="shared" si="76"/>
        <v>#DIV/0!</v>
      </c>
      <c r="I197" s="647"/>
      <c r="J197" s="647"/>
      <c r="K197" s="532"/>
      <c r="L197" s="563" t="e">
        <f t="shared" si="62"/>
        <v>#DIV/0!</v>
      </c>
    </row>
    <row r="198" spans="1:12" ht="25.5" hidden="1" customHeight="1">
      <c r="A198" s="3377"/>
      <c r="B198" s="3336"/>
      <c r="C198" s="1004" t="s">
        <v>476</v>
      </c>
      <c r="D198" s="1005">
        <v>2950</v>
      </c>
      <c r="E198" s="535">
        <v>0</v>
      </c>
      <c r="F198" s="535">
        <v>0</v>
      </c>
      <c r="G198" s="535">
        <v>0</v>
      </c>
      <c r="H198" s="629" t="e">
        <f t="shared" si="76"/>
        <v>#DIV/0!</v>
      </c>
      <c r="I198" s="647"/>
      <c r="J198" s="647"/>
      <c r="K198" s="532"/>
      <c r="L198" s="563" t="e">
        <f t="shared" si="62"/>
        <v>#DIV/0!</v>
      </c>
    </row>
    <row r="199" spans="1:12" ht="15.75" thickBot="1">
      <c r="A199" s="3378"/>
      <c r="B199" s="3365" t="s">
        <v>343</v>
      </c>
      <c r="C199" s="3366"/>
      <c r="D199" s="572"/>
      <c r="E199" s="573">
        <v>0</v>
      </c>
      <c r="F199" s="573">
        <v>0</v>
      </c>
      <c r="G199" s="573">
        <v>0</v>
      </c>
      <c r="H199" s="797"/>
      <c r="I199" s="573">
        <v>0</v>
      </c>
      <c r="J199" s="573">
        <v>0</v>
      </c>
      <c r="K199" s="575"/>
      <c r="L199" s="576"/>
    </row>
    <row r="200" spans="1:12" ht="17.25" customHeight="1" thickBot="1">
      <c r="A200" s="727">
        <v>750</v>
      </c>
      <c r="B200" s="1006"/>
      <c r="C200" s="1007" t="s">
        <v>4</v>
      </c>
      <c r="D200" s="730"/>
      <c r="E200" s="509">
        <f>SUM(E201,E206,E221,E226,E235,E239)</f>
        <v>11621302</v>
      </c>
      <c r="F200" s="509">
        <f>SUM(F201,F206,F221,F226,F235,F239)</f>
        <v>9496130</v>
      </c>
      <c r="G200" s="509">
        <f>SUM(G201,G206,G221,G226,G235,G239)</f>
        <v>9823883</v>
      </c>
      <c r="H200" s="732">
        <f t="shared" si="76"/>
        <v>0.84533411144465564</v>
      </c>
      <c r="I200" s="509">
        <f>SUM(I201,I206,I221,I226,I235,I239)</f>
        <v>17263</v>
      </c>
      <c r="J200" s="509">
        <f>SUM(J201,J206,J221,J226,J235,J239)</f>
        <v>9841146</v>
      </c>
      <c r="K200" s="733"/>
      <c r="L200" s="643">
        <f t="shared" si="62"/>
        <v>1.0363322743054275</v>
      </c>
    </row>
    <row r="201" spans="1:12" ht="18.75" customHeight="1" thickBot="1">
      <c r="A201" s="1008"/>
      <c r="B201" s="735">
        <v>75011</v>
      </c>
      <c r="C201" s="1009" t="s">
        <v>21</v>
      </c>
      <c r="D201" s="737"/>
      <c r="E201" s="518">
        <f>SUM(E202,E205)</f>
        <v>156263</v>
      </c>
      <c r="F201" s="518">
        <f t="shared" ref="F201:G201" si="84">SUM(F202,F205)</f>
        <v>156263</v>
      </c>
      <c r="G201" s="518">
        <f t="shared" si="84"/>
        <v>156526</v>
      </c>
      <c r="H201" s="616">
        <f t="shared" si="76"/>
        <v>1.0016830599694106</v>
      </c>
      <c r="I201" s="518">
        <f t="shared" ref="I201:J201" si="85">SUM(I202,I205)</f>
        <v>86000</v>
      </c>
      <c r="J201" s="518">
        <f t="shared" si="85"/>
        <v>242526</v>
      </c>
      <c r="K201" s="552"/>
      <c r="L201" s="553">
        <f t="shared" si="62"/>
        <v>1.5520372704990946</v>
      </c>
    </row>
    <row r="202" spans="1:12" ht="15" customHeight="1">
      <c r="A202" s="1010"/>
      <c r="B202" s="3340" t="s">
        <v>338</v>
      </c>
      <c r="C202" s="3361"/>
      <c r="D202" s="920"/>
      <c r="E202" s="524">
        <f>SUM(E203:E204)</f>
        <v>156263</v>
      </c>
      <c r="F202" s="524">
        <f t="shared" ref="F202:G202" si="86">SUM(F203:F204)</f>
        <v>156263</v>
      </c>
      <c r="G202" s="524">
        <f t="shared" si="86"/>
        <v>156526</v>
      </c>
      <c r="H202" s="800">
        <f t="shared" si="76"/>
        <v>1.0016830599694106</v>
      </c>
      <c r="I202" s="524">
        <f t="shared" ref="I202:J202" si="87">SUM(I203:I204)</f>
        <v>86000</v>
      </c>
      <c r="J202" s="524">
        <f t="shared" si="87"/>
        <v>242526</v>
      </c>
      <c r="K202" s="931"/>
      <c r="L202" s="556">
        <f t="shared" si="62"/>
        <v>1.5520372704990946</v>
      </c>
    </row>
    <row r="203" spans="1:12" ht="38.25">
      <c r="A203" s="1010"/>
      <c r="B203" s="1011"/>
      <c r="C203" s="1012" t="s">
        <v>477</v>
      </c>
      <c r="D203" s="856">
        <v>2210</v>
      </c>
      <c r="E203" s="535">
        <v>156000</v>
      </c>
      <c r="F203" s="535">
        <v>156000</v>
      </c>
      <c r="G203" s="535">
        <v>156000</v>
      </c>
      <c r="H203" s="629">
        <f t="shared" si="76"/>
        <v>1</v>
      </c>
      <c r="I203" s="647">
        <v>86000</v>
      </c>
      <c r="J203" s="531">
        <f t="shared" ref="J203:J204" si="88">SUM(G203,I203)</f>
        <v>242000</v>
      </c>
      <c r="K203" s="532"/>
      <c r="L203" s="533">
        <f t="shared" ref="L203:L266" si="89">J203/F203</f>
        <v>1.5512820512820513</v>
      </c>
    </row>
    <row r="204" spans="1:12" ht="38.25">
      <c r="A204" s="1010"/>
      <c r="B204" s="1013"/>
      <c r="C204" s="1014" t="s">
        <v>371</v>
      </c>
      <c r="D204" s="858">
        <v>2360</v>
      </c>
      <c r="E204" s="560">
        <v>263</v>
      </c>
      <c r="F204" s="560">
        <v>263</v>
      </c>
      <c r="G204" s="560">
        <v>526</v>
      </c>
      <c r="H204" s="754">
        <f t="shared" si="76"/>
        <v>2</v>
      </c>
      <c r="I204" s="755">
        <v>0</v>
      </c>
      <c r="J204" s="531">
        <f t="shared" si="88"/>
        <v>526</v>
      </c>
      <c r="K204" s="1015"/>
      <c r="L204" s="533">
        <f t="shared" si="89"/>
        <v>2</v>
      </c>
    </row>
    <row r="205" spans="1:12" ht="15" customHeight="1" thickBot="1">
      <c r="A205" s="1010"/>
      <c r="B205" s="3359" t="s">
        <v>343</v>
      </c>
      <c r="C205" s="3360"/>
      <c r="D205" s="809"/>
      <c r="E205" s="573">
        <v>0</v>
      </c>
      <c r="F205" s="573">
        <v>0</v>
      </c>
      <c r="G205" s="573">
        <v>0</v>
      </c>
      <c r="H205" s="797"/>
      <c r="I205" s="573">
        <v>0</v>
      </c>
      <c r="J205" s="573">
        <v>0</v>
      </c>
      <c r="K205" s="575"/>
      <c r="L205" s="576"/>
    </row>
    <row r="206" spans="1:12" ht="19.5" customHeight="1" thickBot="1">
      <c r="A206" s="844"/>
      <c r="B206" s="735">
        <v>75018</v>
      </c>
      <c r="C206" s="736" t="s">
        <v>478</v>
      </c>
      <c r="D206" s="737"/>
      <c r="E206" s="518">
        <f>SUM(E207,E219)</f>
        <v>318000</v>
      </c>
      <c r="F206" s="518">
        <f>SUM(F207,F219)</f>
        <v>318000</v>
      </c>
      <c r="G206" s="518">
        <f>SUM(G207,G219)</f>
        <v>318000</v>
      </c>
      <c r="H206" s="616">
        <f t="shared" si="76"/>
        <v>1</v>
      </c>
      <c r="I206" s="518">
        <f>SUM(I207,I219)</f>
        <v>-78000</v>
      </c>
      <c r="J206" s="518">
        <f>SUM(J207,J219)</f>
        <v>240000</v>
      </c>
      <c r="K206" s="552"/>
      <c r="L206" s="553">
        <f t="shared" si="89"/>
        <v>0.75471698113207553</v>
      </c>
    </row>
    <row r="207" spans="1:12" ht="15" customHeight="1">
      <c r="A207" s="844"/>
      <c r="B207" s="3355" t="s">
        <v>338</v>
      </c>
      <c r="C207" s="3362"/>
      <c r="D207" s="1016"/>
      <c r="E207" s="524">
        <f>SUM(E208:E218)</f>
        <v>318000</v>
      </c>
      <c r="F207" s="524">
        <f>SUM(F208:F218)</f>
        <v>318000</v>
      </c>
      <c r="G207" s="524">
        <f>SUM(G208:G218)</f>
        <v>318000</v>
      </c>
      <c r="H207" s="800">
        <f t="shared" si="76"/>
        <v>1</v>
      </c>
      <c r="I207" s="524">
        <f>SUM(I208:I218)</f>
        <v>-78000</v>
      </c>
      <c r="J207" s="524">
        <f>SUM(J208:J218)</f>
        <v>240000</v>
      </c>
      <c r="K207" s="931"/>
      <c r="L207" s="556">
        <f t="shared" si="89"/>
        <v>0.75471698113207553</v>
      </c>
    </row>
    <row r="208" spans="1:12" ht="18.75" hidden="1" customHeight="1">
      <c r="A208" s="844"/>
      <c r="B208" s="885"/>
      <c r="C208" s="3367" t="s">
        <v>348</v>
      </c>
      <c r="D208" s="1017" t="s">
        <v>479</v>
      </c>
      <c r="E208" s="1018">
        <v>0</v>
      </c>
      <c r="F208" s="1018">
        <v>0</v>
      </c>
      <c r="G208" s="1018"/>
      <c r="H208" s="629"/>
      <c r="I208" s="647"/>
      <c r="J208" s="647"/>
      <c r="K208" s="603"/>
      <c r="L208" s="563" t="e">
        <f t="shared" si="89"/>
        <v>#DIV/0!</v>
      </c>
    </row>
    <row r="209" spans="1:15" ht="21" hidden="1" customHeight="1">
      <c r="A209" s="844"/>
      <c r="B209" s="845"/>
      <c r="C209" s="3368"/>
      <c r="D209" s="1019" t="s">
        <v>480</v>
      </c>
      <c r="E209" s="1018">
        <v>0</v>
      </c>
      <c r="F209" s="1018">
        <v>0</v>
      </c>
      <c r="G209" s="1018"/>
      <c r="H209" s="629"/>
      <c r="I209" s="647"/>
      <c r="J209" s="647"/>
      <c r="K209" s="603"/>
      <c r="L209" s="563" t="e">
        <f t="shared" si="89"/>
        <v>#DIV/0!</v>
      </c>
    </row>
    <row r="210" spans="1:15" ht="28.5" hidden="1" customHeight="1">
      <c r="A210" s="844"/>
      <c r="B210" s="845"/>
      <c r="C210" s="3368"/>
      <c r="D210" s="793" t="s">
        <v>355</v>
      </c>
      <c r="E210" s="535">
        <v>0</v>
      </c>
      <c r="F210" s="535">
        <v>0</v>
      </c>
      <c r="G210" s="535"/>
      <c r="H210" s="629" t="e">
        <f t="shared" si="76"/>
        <v>#DIV/0!</v>
      </c>
      <c r="I210" s="647"/>
      <c r="J210" s="647"/>
      <c r="K210" s="532"/>
      <c r="L210" s="563" t="e">
        <f t="shared" si="89"/>
        <v>#DIV/0!</v>
      </c>
    </row>
    <row r="211" spans="1:15" ht="14.25" customHeight="1">
      <c r="A211" s="844"/>
      <c r="B211" s="845"/>
      <c r="C211" s="3368"/>
      <c r="D211" s="795" t="s">
        <v>340</v>
      </c>
      <c r="E211" s="816">
        <v>100000</v>
      </c>
      <c r="F211" s="816">
        <v>100000</v>
      </c>
      <c r="G211" s="816">
        <v>100000</v>
      </c>
      <c r="H211" s="629">
        <f t="shared" si="76"/>
        <v>1</v>
      </c>
      <c r="I211" s="647">
        <v>0</v>
      </c>
      <c r="J211" s="531">
        <f t="shared" ref="J211:J212" si="90">SUM(G211,I211)</f>
        <v>100000</v>
      </c>
      <c r="K211" s="532"/>
      <c r="L211" s="533">
        <f t="shared" si="89"/>
        <v>1</v>
      </c>
    </row>
    <row r="212" spans="1:15">
      <c r="A212" s="844"/>
      <c r="B212" s="845"/>
      <c r="C212" s="3368"/>
      <c r="D212" s="793" t="s">
        <v>341</v>
      </c>
      <c r="E212" s="816">
        <v>40000</v>
      </c>
      <c r="F212" s="816">
        <v>40000</v>
      </c>
      <c r="G212" s="816">
        <v>40000</v>
      </c>
      <c r="H212" s="629">
        <f t="shared" si="76"/>
        <v>1</v>
      </c>
      <c r="I212" s="647">
        <v>0</v>
      </c>
      <c r="J212" s="531">
        <f t="shared" si="90"/>
        <v>40000</v>
      </c>
      <c r="K212" s="532"/>
      <c r="L212" s="533">
        <f t="shared" si="89"/>
        <v>1</v>
      </c>
    </row>
    <row r="213" spans="1:15" s="550" customFormat="1" ht="30" hidden="1" customHeight="1">
      <c r="A213" s="844"/>
      <c r="B213" s="845"/>
      <c r="C213" s="3368"/>
      <c r="D213" s="793" t="s">
        <v>357</v>
      </c>
      <c r="E213" s="816">
        <v>0</v>
      </c>
      <c r="F213" s="816">
        <v>0</v>
      </c>
      <c r="G213" s="816"/>
      <c r="H213" s="629"/>
      <c r="I213" s="647"/>
      <c r="J213" s="647"/>
      <c r="K213" s="532"/>
      <c r="L213" s="533" t="e">
        <f t="shared" si="89"/>
        <v>#DIV/0!</v>
      </c>
    </row>
    <row r="214" spans="1:15">
      <c r="A214" s="844"/>
      <c r="B214" s="845"/>
      <c r="C214" s="3368"/>
      <c r="D214" s="793" t="s">
        <v>362</v>
      </c>
      <c r="E214" s="816">
        <v>80000</v>
      </c>
      <c r="F214" s="816">
        <v>80000</v>
      </c>
      <c r="G214" s="816">
        <v>80000</v>
      </c>
      <c r="H214" s="629">
        <f t="shared" si="76"/>
        <v>1</v>
      </c>
      <c r="I214" s="647">
        <v>0</v>
      </c>
      <c r="J214" s="531">
        <f t="shared" ref="J214" si="91">SUM(G214,I214)</f>
        <v>80000</v>
      </c>
      <c r="K214" s="532"/>
      <c r="L214" s="533">
        <f t="shared" si="89"/>
        <v>1</v>
      </c>
    </row>
    <row r="215" spans="1:15" hidden="1">
      <c r="A215" s="844"/>
      <c r="B215" s="3370"/>
      <c r="C215" s="3368"/>
      <c r="D215" s="793" t="s">
        <v>349</v>
      </c>
      <c r="E215" s="816">
        <v>0</v>
      </c>
      <c r="F215" s="816">
        <v>0</v>
      </c>
      <c r="G215" s="816"/>
      <c r="H215" s="629"/>
      <c r="I215" s="647"/>
      <c r="J215" s="647"/>
      <c r="K215" s="532"/>
      <c r="L215" s="533" t="e">
        <f t="shared" si="89"/>
        <v>#DIV/0!</v>
      </c>
    </row>
    <row r="216" spans="1:15" ht="15" customHeight="1">
      <c r="A216" s="3358"/>
      <c r="B216" s="3370"/>
      <c r="C216" s="3369"/>
      <c r="D216" s="793" t="s">
        <v>342</v>
      </c>
      <c r="E216" s="816">
        <v>20000</v>
      </c>
      <c r="F216" s="816">
        <v>20000</v>
      </c>
      <c r="G216" s="816">
        <v>20000</v>
      </c>
      <c r="H216" s="629">
        <f t="shared" si="76"/>
        <v>1</v>
      </c>
      <c r="I216" s="647">
        <v>0</v>
      </c>
      <c r="J216" s="531">
        <f t="shared" ref="J216:J217" si="92">SUM(G216,I216)</f>
        <v>20000</v>
      </c>
      <c r="K216" s="532"/>
      <c r="L216" s="533">
        <f t="shared" si="89"/>
        <v>1</v>
      </c>
    </row>
    <row r="217" spans="1:15" ht="30.75" hidden="1" customHeight="1">
      <c r="A217" s="3358"/>
      <c r="B217" s="3371"/>
      <c r="C217" s="924" t="s">
        <v>412</v>
      </c>
      <c r="D217" s="793" t="s">
        <v>413</v>
      </c>
      <c r="E217" s="624">
        <v>78000</v>
      </c>
      <c r="F217" s="624">
        <v>78000</v>
      </c>
      <c r="G217" s="624">
        <v>78000</v>
      </c>
      <c r="H217" s="746">
        <f t="shared" si="76"/>
        <v>1</v>
      </c>
      <c r="I217" s="747">
        <v>-78000</v>
      </c>
      <c r="J217" s="531">
        <f t="shared" si="92"/>
        <v>0</v>
      </c>
      <c r="K217" s="995"/>
      <c r="L217" s="533">
        <f t="shared" si="89"/>
        <v>0</v>
      </c>
    </row>
    <row r="218" spans="1:15" ht="25.5" hidden="1">
      <c r="A218" s="844"/>
      <c r="B218" s="845"/>
      <c r="C218" s="1020" t="s">
        <v>481</v>
      </c>
      <c r="D218" s="1021" t="s">
        <v>482</v>
      </c>
      <c r="E218" s="560">
        <v>0</v>
      </c>
      <c r="F218" s="560">
        <v>0</v>
      </c>
      <c r="G218" s="560">
        <v>0</v>
      </c>
      <c r="H218" s="754" t="e">
        <f t="shared" si="76"/>
        <v>#DIV/0!</v>
      </c>
      <c r="I218" s="755"/>
      <c r="J218" s="755"/>
      <c r="K218" s="1015"/>
      <c r="L218" s="563" t="e">
        <f t="shared" si="89"/>
        <v>#DIV/0!</v>
      </c>
    </row>
    <row r="219" spans="1:15" ht="15.75" thickBot="1">
      <c r="A219" s="844"/>
      <c r="B219" s="3359" t="s">
        <v>343</v>
      </c>
      <c r="C219" s="3360"/>
      <c r="D219" s="809"/>
      <c r="E219" s="573">
        <f>SUM(E220)</f>
        <v>0</v>
      </c>
      <c r="F219" s="573">
        <f t="shared" ref="F219:J219" si="93">SUM(F220)</f>
        <v>0</v>
      </c>
      <c r="G219" s="573">
        <f t="shared" si="93"/>
        <v>0</v>
      </c>
      <c r="H219" s="797"/>
      <c r="I219" s="573">
        <f t="shared" si="93"/>
        <v>0</v>
      </c>
      <c r="J219" s="573">
        <f t="shared" si="93"/>
        <v>0</v>
      </c>
      <c r="K219" s="575"/>
      <c r="L219" s="608"/>
      <c r="M219" s="835"/>
    </row>
    <row r="220" spans="1:15" ht="26.25" hidden="1" thickBot="1">
      <c r="A220" s="844"/>
      <c r="B220" s="1022"/>
      <c r="C220" s="1023" t="s">
        <v>348</v>
      </c>
      <c r="D220" s="1024" t="s">
        <v>345</v>
      </c>
      <c r="E220" s="1025">
        <v>0</v>
      </c>
      <c r="F220" s="1025">
        <v>0</v>
      </c>
      <c r="G220" s="1025"/>
      <c r="H220" s="1026"/>
      <c r="I220" s="1025"/>
      <c r="J220" s="1025"/>
      <c r="K220" s="1027"/>
      <c r="L220" s="612" t="e">
        <f t="shared" si="89"/>
        <v>#DIV/0!</v>
      </c>
      <c r="M220" s="835"/>
    </row>
    <row r="221" spans="1:15" s="550" customFormat="1" ht="15.75" thickBot="1">
      <c r="A221" s="844"/>
      <c r="B221" s="735">
        <v>75046</v>
      </c>
      <c r="C221" s="736" t="s">
        <v>22</v>
      </c>
      <c r="D221" s="737"/>
      <c r="E221" s="812">
        <f t="shared" ref="E221:G221" si="94">SUM(E222,E225)</f>
        <v>21053</v>
      </c>
      <c r="F221" s="812">
        <f t="shared" si="94"/>
        <v>21053</v>
      </c>
      <c r="G221" s="812">
        <f t="shared" si="94"/>
        <v>21053</v>
      </c>
      <c r="H221" s="616">
        <f t="shared" si="76"/>
        <v>1</v>
      </c>
      <c r="I221" s="812">
        <f t="shared" ref="I221:J221" si="95">SUM(I222,I225)</f>
        <v>263</v>
      </c>
      <c r="J221" s="812">
        <f t="shared" si="95"/>
        <v>21316</v>
      </c>
      <c r="K221" s="738"/>
      <c r="L221" s="553">
        <f t="shared" si="89"/>
        <v>1.0124922813850759</v>
      </c>
      <c r="M221" s="1028"/>
    </row>
    <row r="222" spans="1:15">
      <c r="A222" s="844"/>
      <c r="B222" s="3340" t="s">
        <v>338</v>
      </c>
      <c r="C222" s="3361"/>
      <c r="D222" s="920"/>
      <c r="E222" s="1029">
        <f>SUM(E223:E224)</f>
        <v>21053</v>
      </c>
      <c r="F222" s="1029">
        <f t="shared" ref="F222:G222" si="96">SUM(F223:F224)</f>
        <v>21053</v>
      </c>
      <c r="G222" s="1029">
        <f t="shared" si="96"/>
        <v>21053</v>
      </c>
      <c r="H222" s="800">
        <f t="shared" si="76"/>
        <v>1</v>
      </c>
      <c r="I222" s="1029">
        <f t="shared" ref="I222:J222" si="97">SUM(I223:I224)</f>
        <v>263</v>
      </c>
      <c r="J222" s="1029">
        <f t="shared" si="97"/>
        <v>21316</v>
      </c>
      <c r="K222" s="801"/>
      <c r="L222" s="556">
        <f t="shared" si="89"/>
        <v>1.0124922813850759</v>
      </c>
      <c r="M222" s="835"/>
      <c r="N222" s="835"/>
      <c r="O222" s="835"/>
    </row>
    <row r="223" spans="1:15" ht="43.5" customHeight="1">
      <c r="A223" s="844"/>
      <c r="B223" s="3341"/>
      <c r="C223" s="794" t="s">
        <v>363</v>
      </c>
      <c r="D223" s="856">
        <v>2210</v>
      </c>
      <c r="E223" s="816">
        <v>20000</v>
      </c>
      <c r="F223" s="816">
        <v>20000</v>
      </c>
      <c r="G223" s="816">
        <v>20000</v>
      </c>
      <c r="H223" s="629">
        <f t="shared" si="76"/>
        <v>1</v>
      </c>
      <c r="I223" s="647">
        <v>0</v>
      </c>
      <c r="J223" s="531">
        <f t="shared" ref="J223:J224" si="98">SUM(G223,I223)</f>
        <v>20000</v>
      </c>
      <c r="K223" s="568" t="s">
        <v>404</v>
      </c>
      <c r="L223" s="533">
        <f t="shared" si="89"/>
        <v>1</v>
      </c>
    </row>
    <row r="224" spans="1:15" s="925" customFormat="1" ht="43.5" customHeight="1">
      <c r="A224" s="844"/>
      <c r="B224" s="3342"/>
      <c r="C224" s="1014" t="s">
        <v>371</v>
      </c>
      <c r="D224" s="858">
        <v>2360</v>
      </c>
      <c r="E224" s="624">
        <v>1053</v>
      </c>
      <c r="F224" s="624">
        <v>1053</v>
      </c>
      <c r="G224" s="624">
        <v>1053</v>
      </c>
      <c r="H224" s="746">
        <f t="shared" si="76"/>
        <v>1</v>
      </c>
      <c r="I224" s="747">
        <v>263</v>
      </c>
      <c r="J224" s="531">
        <f t="shared" si="98"/>
        <v>1316</v>
      </c>
      <c r="K224" s="596"/>
      <c r="L224" s="533">
        <f t="shared" si="89"/>
        <v>1.2497625830959165</v>
      </c>
    </row>
    <row r="225" spans="1:13" s="925" customFormat="1" ht="15" customHeight="1" thickBot="1">
      <c r="A225" s="863"/>
      <c r="B225" s="3359" t="s">
        <v>343</v>
      </c>
      <c r="C225" s="3360"/>
      <c r="D225" s="809"/>
      <c r="E225" s="637">
        <v>0</v>
      </c>
      <c r="F225" s="637">
        <v>0</v>
      </c>
      <c r="G225" s="637">
        <v>0</v>
      </c>
      <c r="H225" s="797"/>
      <c r="I225" s="637">
        <v>0</v>
      </c>
      <c r="J225" s="637">
        <v>0</v>
      </c>
      <c r="K225" s="798"/>
      <c r="L225" s="576"/>
    </row>
    <row r="226" spans="1:13" s="925" customFormat="1" ht="15" customHeight="1" thickBot="1">
      <c r="A226" s="844"/>
      <c r="B226" s="1030">
        <v>75075</v>
      </c>
      <c r="C226" s="1031" t="s">
        <v>274</v>
      </c>
      <c r="D226" s="1032"/>
      <c r="E226" s="1033">
        <f>SUM(E234,E227)</f>
        <v>262589</v>
      </c>
      <c r="F226" s="1033">
        <f>SUM(F234,F227)</f>
        <v>226408</v>
      </c>
      <c r="G226" s="1033">
        <f>SUM(G234,G227)</f>
        <v>33900</v>
      </c>
      <c r="H226" s="1034">
        <f t="shared" si="76"/>
        <v>0.12909908640499032</v>
      </c>
      <c r="I226" s="1033">
        <f>SUM(I234,I227)</f>
        <v>0</v>
      </c>
      <c r="J226" s="1033">
        <f>SUM(J234,J227)</f>
        <v>33900</v>
      </c>
      <c r="K226" s="738"/>
      <c r="L226" s="553">
        <f t="shared" si="89"/>
        <v>0.14972969153033461</v>
      </c>
    </row>
    <row r="227" spans="1:13" s="925" customFormat="1" ht="15" customHeight="1">
      <c r="A227" s="844"/>
      <c r="B227" s="3355" t="s">
        <v>338</v>
      </c>
      <c r="C227" s="3362"/>
      <c r="D227" s="791"/>
      <c r="E227" s="813">
        <f>SUM(E228:E233)</f>
        <v>262589</v>
      </c>
      <c r="F227" s="813">
        <f>SUM(F228:F233)</f>
        <v>226408</v>
      </c>
      <c r="G227" s="813">
        <f>SUM(G228:G233)</f>
        <v>33900</v>
      </c>
      <c r="H227" s="741">
        <f t="shared" si="76"/>
        <v>0.12909908640499032</v>
      </c>
      <c r="I227" s="813">
        <f>SUM(I228:I233)</f>
        <v>0</v>
      </c>
      <c r="J227" s="813">
        <f>SUM(J228:J233)</f>
        <v>33900</v>
      </c>
      <c r="K227" s="742"/>
      <c r="L227" s="556">
        <f t="shared" si="89"/>
        <v>0.14972969153033461</v>
      </c>
    </row>
    <row r="228" spans="1:13" hidden="1">
      <c r="A228" s="844"/>
      <c r="B228" s="1035"/>
      <c r="C228" s="3350" t="s">
        <v>348</v>
      </c>
      <c r="D228" s="815" t="s">
        <v>357</v>
      </c>
      <c r="E228" s="594">
        <v>0</v>
      </c>
      <c r="F228" s="594">
        <v>0</v>
      </c>
      <c r="G228" s="594">
        <v>0</v>
      </c>
      <c r="H228" s="1036" t="e">
        <f t="shared" si="76"/>
        <v>#DIV/0!</v>
      </c>
      <c r="I228" s="1037"/>
      <c r="J228" s="1037"/>
      <c r="K228" s="1038"/>
      <c r="L228" s="563" t="e">
        <f t="shared" si="89"/>
        <v>#DIV/0!</v>
      </c>
    </row>
    <row r="229" spans="1:13" hidden="1">
      <c r="A229" s="844"/>
      <c r="B229" s="1039"/>
      <c r="C229" s="3351"/>
      <c r="D229" s="815" t="s">
        <v>349</v>
      </c>
      <c r="E229" s="1040">
        <v>0</v>
      </c>
      <c r="F229" s="1040">
        <v>0</v>
      </c>
      <c r="G229" s="1040">
        <v>0</v>
      </c>
      <c r="H229" s="666" t="e">
        <f t="shared" si="76"/>
        <v>#DIV/0!</v>
      </c>
      <c r="I229" s="667"/>
      <c r="J229" s="667"/>
      <c r="K229" s="1041"/>
      <c r="L229" s="563" t="e">
        <f t="shared" si="89"/>
        <v>#DIV/0!</v>
      </c>
      <c r="M229" s="835"/>
    </row>
    <row r="230" spans="1:13" ht="64.5" hidden="1" customHeight="1">
      <c r="A230" s="844"/>
      <c r="B230" s="1039"/>
      <c r="C230" s="1042" t="s">
        <v>483</v>
      </c>
      <c r="D230" s="815" t="s">
        <v>484</v>
      </c>
      <c r="E230" s="1043">
        <v>52552</v>
      </c>
      <c r="F230" s="1043">
        <v>16371</v>
      </c>
      <c r="G230" s="1043">
        <v>0</v>
      </c>
      <c r="H230" s="1044">
        <f t="shared" si="76"/>
        <v>0</v>
      </c>
      <c r="I230" s="1045">
        <v>0</v>
      </c>
      <c r="J230" s="531">
        <f t="shared" ref="J230:J233" si="99">SUM(G230,I230)</f>
        <v>0</v>
      </c>
      <c r="K230" s="1046"/>
      <c r="L230" s="533">
        <f t="shared" si="89"/>
        <v>0</v>
      </c>
      <c r="M230" s="835"/>
    </row>
    <row r="231" spans="1:13" ht="9.75" hidden="1" customHeight="1">
      <c r="A231" s="844"/>
      <c r="B231" s="1039"/>
      <c r="C231" s="1042" t="s">
        <v>485</v>
      </c>
      <c r="D231" s="3352" t="s">
        <v>474</v>
      </c>
      <c r="E231" s="1040">
        <v>0</v>
      </c>
      <c r="F231" s="837">
        <v>0</v>
      </c>
      <c r="G231" s="837"/>
      <c r="H231" s="666" t="e">
        <f t="shared" si="76"/>
        <v>#DIV/0!</v>
      </c>
      <c r="I231" s="667"/>
      <c r="J231" s="531">
        <f t="shared" si="99"/>
        <v>0</v>
      </c>
      <c r="K231" s="1041"/>
      <c r="L231" s="533" t="e">
        <f t="shared" si="89"/>
        <v>#DIV/0!</v>
      </c>
      <c r="M231" s="835"/>
    </row>
    <row r="232" spans="1:13" ht="82.5" customHeight="1">
      <c r="A232" s="844"/>
      <c r="B232" s="1039"/>
      <c r="C232" s="3154" t="s">
        <v>1445</v>
      </c>
      <c r="D232" s="3349"/>
      <c r="E232" s="837">
        <v>198365</v>
      </c>
      <c r="F232" s="837">
        <v>198365</v>
      </c>
      <c r="G232" s="837">
        <v>32000</v>
      </c>
      <c r="H232" s="666">
        <f t="shared" si="76"/>
        <v>0.16131878103496081</v>
      </c>
      <c r="I232" s="667">
        <v>0</v>
      </c>
      <c r="J232" s="531">
        <f t="shared" si="99"/>
        <v>32000</v>
      </c>
      <c r="K232" s="1041"/>
      <c r="L232" s="533">
        <f t="shared" si="89"/>
        <v>0.16131878103496081</v>
      </c>
    </row>
    <row r="233" spans="1:13" ht="81.75" customHeight="1">
      <c r="A233" s="839"/>
      <c r="B233" s="1048"/>
      <c r="C233" s="3154" t="s">
        <v>1446</v>
      </c>
      <c r="D233" s="1049" t="s">
        <v>486</v>
      </c>
      <c r="E233" s="1050">
        <v>11672</v>
      </c>
      <c r="F233" s="1050">
        <v>11672</v>
      </c>
      <c r="G233" s="1050">
        <v>1900</v>
      </c>
      <c r="H233" s="832">
        <f t="shared" si="76"/>
        <v>0.16278272789581905</v>
      </c>
      <c r="I233" s="833">
        <v>0</v>
      </c>
      <c r="J233" s="531">
        <f t="shared" si="99"/>
        <v>1900</v>
      </c>
      <c r="K233" s="834"/>
      <c r="L233" s="533">
        <f t="shared" si="89"/>
        <v>0.16278272789581905</v>
      </c>
    </row>
    <row r="234" spans="1:13" ht="15" customHeight="1" thickBot="1">
      <c r="A234" s="844"/>
      <c r="B234" s="3353" t="s">
        <v>343</v>
      </c>
      <c r="C234" s="3354"/>
      <c r="D234" s="809"/>
      <c r="E234" s="637">
        <v>0</v>
      </c>
      <c r="F234" s="637">
        <v>0</v>
      </c>
      <c r="G234" s="637">
        <v>0</v>
      </c>
      <c r="H234" s="810"/>
      <c r="I234" s="637">
        <v>0</v>
      </c>
      <c r="J234" s="637">
        <v>0</v>
      </c>
      <c r="K234" s="607"/>
      <c r="L234" s="608"/>
    </row>
    <row r="235" spans="1:13" ht="15" customHeight="1" thickBot="1">
      <c r="A235" s="844"/>
      <c r="B235" s="1030">
        <v>75084</v>
      </c>
      <c r="C235" s="1051" t="s">
        <v>23</v>
      </c>
      <c r="D235" s="1052"/>
      <c r="E235" s="1053">
        <f>SUM(E236,E238)</f>
        <v>216000</v>
      </c>
      <c r="F235" s="1053">
        <f t="shared" ref="F235:G235" si="100">SUM(F236,F238)</f>
        <v>216000</v>
      </c>
      <c r="G235" s="1053">
        <f t="shared" si="100"/>
        <v>216000</v>
      </c>
      <c r="H235" s="912">
        <f t="shared" si="76"/>
        <v>1</v>
      </c>
      <c r="I235" s="1053">
        <f t="shared" ref="I235:J235" si="101">SUM(I236,I238)</f>
        <v>9000</v>
      </c>
      <c r="J235" s="1053">
        <f t="shared" si="101"/>
        <v>225000</v>
      </c>
      <c r="K235" s="954"/>
      <c r="L235" s="1054">
        <f t="shared" si="89"/>
        <v>1.0416666666666667</v>
      </c>
    </row>
    <row r="236" spans="1:13" ht="15" customHeight="1">
      <c r="A236" s="844"/>
      <c r="B236" s="3355" t="s">
        <v>338</v>
      </c>
      <c r="C236" s="3356"/>
      <c r="D236" s="554"/>
      <c r="E236" s="813">
        <f t="shared" ref="E236:F236" si="102">SUM(E237)</f>
        <v>216000</v>
      </c>
      <c r="F236" s="813">
        <f t="shared" si="102"/>
        <v>216000</v>
      </c>
      <c r="G236" s="813">
        <f>SUM(G237)</f>
        <v>216000</v>
      </c>
      <c r="H236" s="741">
        <f t="shared" si="76"/>
        <v>1</v>
      </c>
      <c r="I236" s="813">
        <f>SUM(I237)</f>
        <v>9000</v>
      </c>
      <c r="J236" s="813">
        <f>SUM(J237)</f>
        <v>225000</v>
      </c>
      <c r="K236" s="526"/>
      <c r="L236" s="556">
        <f t="shared" si="89"/>
        <v>1.0416666666666667</v>
      </c>
    </row>
    <row r="237" spans="1:13" ht="43.5" customHeight="1">
      <c r="A237" s="844"/>
      <c r="B237" s="1055"/>
      <c r="C237" s="1056" t="s">
        <v>363</v>
      </c>
      <c r="D237" s="1057">
        <v>2210</v>
      </c>
      <c r="E237" s="816">
        <v>216000</v>
      </c>
      <c r="F237" s="816">
        <v>216000</v>
      </c>
      <c r="G237" s="816">
        <v>216000</v>
      </c>
      <c r="H237" s="629">
        <f t="shared" si="76"/>
        <v>1</v>
      </c>
      <c r="I237" s="816">
        <v>9000</v>
      </c>
      <c r="J237" s="531">
        <f t="shared" ref="J237" si="103">SUM(G237,I237)</f>
        <v>225000</v>
      </c>
      <c r="K237" s="568" t="s">
        <v>404</v>
      </c>
      <c r="L237" s="533">
        <f t="shared" si="89"/>
        <v>1.0416666666666667</v>
      </c>
      <c r="M237" s="838"/>
    </row>
    <row r="238" spans="1:13" ht="15" customHeight="1" thickBot="1">
      <c r="A238" s="844"/>
      <c r="B238" s="3353" t="s">
        <v>343</v>
      </c>
      <c r="C238" s="3354"/>
      <c r="D238" s="1058"/>
      <c r="E238" s="573">
        <v>0</v>
      </c>
      <c r="F238" s="573">
        <v>0</v>
      </c>
      <c r="G238" s="573">
        <v>0</v>
      </c>
      <c r="H238" s="797"/>
      <c r="I238" s="573">
        <v>0</v>
      </c>
      <c r="J238" s="573">
        <v>0</v>
      </c>
      <c r="K238" s="575"/>
      <c r="L238" s="576"/>
    </row>
    <row r="239" spans="1:13" ht="15" customHeight="1" thickBot="1">
      <c r="A239" s="844"/>
      <c r="B239" s="1030">
        <v>75095</v>
      </c>
      <c r="C239" s="952" t="s">
        <v>11</v>
      </c>
      <c r="D239" s="1059"/>
      <c r="E239" s="911">
        <f>SUM(E240,E262)</f>
        <v>10647397</v>
      </c>
      <c r="F239" s="911">
        <f>SUM(F240,F262)</f>
        <v>8558406</v>
      </c>
      <c r="G239" s="911">
        <f>SUM(G240,G262)</f>
        <v>9078404</v>
      </c>
      <c r="H239" s="1060">
        <f t="shared" ref="H239:H268" si="104">G239/E239</f>
        <v>0.85264069706426837</v>
      </c>
      <c r="I239" s="911">
        <f>SUM(I240,I262)</f>
        <v>0</v>
      </c>
      <c r="J239" s="911">
        <f>SUM(J240,J262)</f>
        <v>9078404</v>
      </c>
      <c r="K239" s="1061"/>
      <c r="L239" s="553">
        <f t="shared" si="89"/>
        <v>1.0607587440932342</v>
      </c>
    </row>
    <row r="240" spans="1:13" ht="15" customHeight="1">
      <c r="A240" s="844"/>
      <c r="B240" s="3355" t="s">
        <v>338</v>
      </c>
      <c r="C240" s="3357"/>
      <c r="D240" s="740"/>
      <c r="E240" s="555">
        <f>SUM(E241:E261)</f>
        <v>8032208</v>
      </c>
      <c r="F240" s="555">
        <f>SUM(F241:F261)</f>
        <v>6390534</v>
      </c>
      <c r="G240" s="555">
        <f>SUM(G241:G261)</f>
        <v>4128819</v>
      </c>
      <c r="H240" s="741">
        <f t="shared" si="104"/>
        <v>0.51403287863063307</v>
      </c>
      <c r="I240" s="555">
        <f>SUM(I241:I261)</f>
        <v>0</v>
      </c>
      <c r="J240" s="555">
        <f>SUM(J241:J261)</f>
        <v>4128819</v>
      </c>
      <c r="K240" s="526"/>
      <c r="L240" s="556">
        <f t="shared" si="89"/>
        <v>0.64608356672540979</v>
      </c>
    </row>
    <row r="241" spans="1:12" ht="64.5" hidden="1" thickBot="1">
      <c r="A241" s="844"/>
      <c r="B241" s="1035"/>
      <c r="C241" s="1062" t="s">
        <v>487</v>
      </c>
      <c r="D241" s="815" t="s">
        <v>454</v>
      </c>
      <c r="E241" s="1063">
        <v>0</v>
      </c>
      <c r="F241" s="529">
        <v>3726</v>
      </c>
      <c r="G241" s="529">
        <v>0</v>
      </c>
      <c r="H241" s="666"/>
      <c r="I241" s="667"/>
      <c r="J241" s="531">
        <f t="shared" ref="J241:J279" si="105">SUM(G241,I241)</f>
        <v>0</v>
      </c>
      <c r="K241" s="1064"/>
      <c r="L241" s="533">
        <f t="shared" si="89"/>
        <v>0</v>
      </c>
    </row>
    <row r="242" spans="1:12" ht="69" customHeight="1">
      <c r="A242" s="844"/>
      <c r="B242" s="1039"/>
      <c r="C242" s="1047" t="s">
        <v>488</v>
      </c>
      <c r="D242" s="3348" t="s">
        <v>489</v>
      </c>
      <c r="E242" s="1065">
        <v>1437801</v>
      </c>
      <c r="F242" s="1065">
        <v>789700</v>
      </c>
      <c r="G242" s="1065">
        <v>662641</v>
      </c>
      <c r="H242" s="832">
        <f t="shared" si="104"/>
        <v>0.46087114976272792</v>
      </c>
      <c r="I242" s="833">
        <v>0</v>
      </c>
      <c r="J242" s="756">
        <f t="shared" si="105"/>
        <v>662641</v>
      </c>
      <c r="K242" s="1066"/>
      <c r="L242" s="533">
        <f t="shared" si="89"/>
        <v>0.8391047233126504</v>
      </c>
    </row>
    <row r="243" spans="1:12" ht="52.5" customHeight="1">
      <c r="A243" s="844"/>
      <c r="B243" s="1039"/>
      <c r="C243" s="836" t="s">
        <v>490</v>
      </c>
      <c r="D243" s="3349"/>
      <c r="E243" s="1065">
        <v>103347</v>
      </c>
      <c r="F243" s="1065">
        <v>42672</v>
      </c>
      <c r="G243" s="1065">
        <v>136767</v>
      </c>
      <c r="H243" s="832">
        <f t="shared" si="104"/>
        <v>1.3233765856773783</v>
      </c>
      <c r="I243" s="833">
        <v>0</v>
      </c>
      <c r="J243" s="531">
        <f t="shared" si="105"/>
        <v>136767</v>
      </c>
      <c r="K243" s="1066"/>
      <c r="L243" s="533">
        <f t="shared" si="89"/>
        <v>3.2050759280089989</v>
      </c>
    </row>
    <row r="244" spans="1:12" ht="54" customHeight="1">
      <c r="A244" s="844"/>
      <c r="B244" s="1039"/>
      <c r="C244" s="1067" t="s">
        <v>491</v>
      </c>
      <c r="D244" s="3346">
        <v>2008</v>
      </c>
      <c r="E244" s="535">
        <v>1445000</v>
      </c>
      <c r="F244" s="535">
        <v>1468641</v>
      </c>
      <c r="G244" s="535">
        <v>1402500</v>
      </c>
      <c r="H244" s="629">
        <f t="shared" si="104"/>
        <v>0.97058823529411764</v>
      </c>
      <c r="I244" s="647">
        <v>0</v>
      </c>
      <c r="J244" s="531">
        <f t="shared" si="105"/>
        <v>1402500</v>
      </c>
      <c r="K244" s="995"/>
      <c r="L244" s="758">
        <f t="shared" si="89"/>
        <v>0.9549644875772908</v>
      </c>
    </row>
    <row r="245" spans="1:12" ht="66.75" customHeight="1" thickBot="1">
      <c r="A245" s="844"/>
      <c r="B245" s="1039"/>
      <c r="C245" s="841" t="s">
        <v>492</v>
      </c>
      <c r="D245" s="3344"/>
      <c r="E245" s="535">
        <v>553516</v>
      </c>
      <c r="F245" s="535">
        <v>351687</v>
      </c>
      <c r="G245" s="535">
        <f>311836+8820</f>
        <v>320656</v>
      </c>
      <c r="H245" s="629">
        <f t="shared" si="104"/>
        <v>0.57930755389184774</v>
      </c>
      <c r="I245" s="647">
        <v>0</v>
      </c>
      <c r="J245" s="531">
        <f t="shared" si="105"/>
        <v>320656</v>
      </c>
      <c r="K245" s="701"/>
      <c r="L245" s="770">
        <f t="shared" si="89"/>
        <v>0.91176529129595352</v>
      </c>
    </row>
    <row r="246" spans="1:12" ht="78.75" customHeight="1">
      <c r="A246" s="844"/>
      <c r="B246" s="1039"/>
      <c r="C246" s="1068" t="s">
        <v>493</v>
      </c>
      <c r="D246" s="888">
        <v>2008</v>
      </c>
      <c r="E246" s="625">
        <v>17637</v>
      </c>
      <c r="F246" s="625">
        <v>17637</v>
      </c>
      <c r="G246" s="625">
        <v>28687</v>
      </c>
      <c r="H246" s="746">
        <f t="shared" si="104"/>
        <v>1.6265237852242445</v>
      </c>
      <c r="I246" s="747">
        <v>0</v>
      </c>
      <c r="J246" s="756">
        <f t="shared" si="105"/>
        <v>28687</v>
      </c>
      <c r="K246" s="596"/>
      <c r="L246" s="758">
        <f t="shared" si="89"/>
        <v>1.6265237852242445</v>
      </c>
    </row>
    <row r="247" spans="1:12" ht="38.25">
      <c r="A247" s="844"/>
      <c r="B247" s="845"/>
      <c r="C247" s="1042" t="s">
        <v>494</v>
      </c>
      <c r="D247" s="3346">
        <v>2009</v>
      </c>
      <c r="E247" s="535">
        <v>255000</v>
      </c>
      <c r="F247" s="535">
        <v>259172</v>
      </c>
      <c r="G247" s="535">
        <v>247500</v>
      </c>
      <c r="H247" s="666">
        <f t="shared" si="104"/>
        <v>0.97058823529411764</v>
      </c>
      <c r="I247" s="667">
        <v>0</v>
      </c>
      <c r="J247" s="531">
        <f t="shared" si="105"/>
        <v>247500</v>
      </c>
      <c r="K247" s="532"/>
      <c r="L247" s="533">
        <f t="shared" si="89"/>
        <v>0.95496427083172564</v>
      </c>
    </row>
    <row r="248" spans="1:12" ht="63" customHeight="1">
      <c r="A248" s="844"/>
      <c r="B248" s="845"/>
      <c r="C248" s="1042" t="s">
        <v>495</v>
      </c>
      <c r="D248" s="3343"/>
      <c r="E248" s="625">
        <v>87070</v>
      </c>
      <c r="F248" s="625">
        <v>47822</v>
      </c>
      <c r="G248" s="625">
        <v>40129</v>
      </c>
      <c r="H248" s="832">
        <f t="shared" si="104"/>
        <v>0.46088204892615137</v>
      </c>
      <c r="I248" s="833">
        <v>0</v>
      </c>
      <c r="J248" s="531">
        <f t="shared" si="105"/>
        <v>40129</v>
      </c>
      <c r="K248" s="995"/>
      <c r="L248" s="533">
        <f t="shared" si="89"/>
        <v>0.83913261678725271</v>
      </c>
    </row>
    <row r="249" spans="1:12" ht="51.75" thickBot="1">
      <c r="A249" s="863"/>
      <c r="B249" s="864"/>
      <c r="C249" s="1069" t="s">
        <v>496</v>
      </c>
      <c r="D249" s="3347"/>
      <c r="E249" s="586">
        <v>7014</v>
      </c>
      <c r="F249" s="586">
        <v>2897</v>
      </c>
      <c r="G249" s="586">
        <v>8593</v>
      </c>
      <c r="H249" s="1070">
        <f t="shared" si="104"/>
        <v>1.2251211861990305</v>
      </c>
      <c r="I249" s="1071">
        <v>0</v>
      </c>
      <c r="J249" s="700">
        <f t="shared" si="105"/>
        <v>8593</v>
      </c>
      <c r="K249" s="995"/>
      <c r="L249" s="533">
        <f t="shared" si="89"/>
        <v>2.9661719019675528</v>
      </c>
    </row>
    <row r="250" spans="1:12" ht="66.75" customHeight="1">
      <c r="A250" s="844"/>
      <c r="B250" s="845"/>
      <c r="C250" s="1072" t="s">
        <v>497</v>
      </c>
      <c r="D250" s="3343">
        <v>2009</v>
      </c>
      <c r="E250" s="560">
        <v>3112</v>
      </c>
      <c r="F250" s="560">
        <v>3112</v>
      </c>
      <c r="G250" s="560">
        <v>5062</v>
      </c>
      <c r="H250" s="832">
        <f t="shared" si="104"/>
        <v>1.6266066838046271</v>
      </c>
      <c r="I250" s="1073">
        <v>0</v>
      </c>
      <c r="J250" s="756">
        <f t="shared" si="105"/>
        <v>5062</v>
      </c>
      <c r="K250" s="1015"/>
      <c r="L250" s="533">
        <f t="shared" si="89"/>
        <v>1.6266066838046271</v>
      </c>
    </row>
    <row r="251" spans="1:12" ht="51.75" customHeight="1" thickBot="1">
      <c r="A251" s="844"/>
      <c r="B251" s="845"/>
      <c r="C251" s="1042" t="s">
        <v>498</v>
      </c>
      <c r="D251" s="3344"/>
      <c r="E251" s="535">
        <v>97679</v>
      </c>
      <c r="F251" s="535">
        <v>62063</v>
      </c>
      <c r="G251" s="535">
        <f>55027+1559</f>
        <v>56586</v>
      </c>
      <c r="H251" s="832">
        <f t="shared" si="104"/>
        <v>0.57930568494763457</v>
      </c>
      <c r="I251" s="833">
        <v>0</v>
      </c>
      <c r="J251" s="531">
        <f t="shared" si="105"/>
        <v>56586</v>
      </c>
      <c r="K251" s="769"/>
      <c r="L251" s="770">
        <f t="shared" si="89"/>
        <v>0.91175096273141809</v>
      </c>
    </row>
    <row r="252" spans="1:12" ht="64.5" customHeight="1">
      <c r="A252" s="844"/>
      <c r="B252" s="845"/>
      <c r="C252" s="1047" t="s">
        <v>488</v>
      </c>
      <c r="D252" s="3343">
        <v>2057</v>
      </c>
      <c r="E252" s="625">
        <v>2112154</v>
      </c>
      <c r="F252" s="625">
        <v>1457690</v>
      </c>
      <c r="G252" s="625">
        <v>700805</v>
      </c>
      <c r="H252" s="832">
        <f t="shared" si="104"/>
        <v>0.3317963557581502</v>
      </c>
      <c r="I252" s="833">
        <v>0</v>
      </c>
      <c r="J252" s="756">
        <f t="shared" si="105"/>
        <v>700805</v>
      </c>
      <c r="K252" s="1074"/>
      <c r="L252" s="1075">
        <f t="shared" si="89"/>
        <v>0.48076408564235196</v>
      </c>
    </row>
    <row r="253" spans="1:12" ht="51" customHeight="1">
      <c r="A253" s="844"/>
      <c r="B253" s="845"/>
      <c r="C253" s="1042" t="s">
        <v>490</v>
      </c>
      <c r="D253" s="3344"/>
      <c r="E253" s="625">
        <v>708411</v>
      </c>
      <c r="F253" s="625">
        <v>638285</v>
      </c>
      <c r="G253" s="625">
        <v>357084</v>
      </c>
      <c r="H253" s="832">
        <f t="shared" si="104"/>
        <v>0.50406331917488578</v>
      </c>
      <c r="I253" s="833">
        <v>0</v>
      </c>
      <c r="J253" s="531">
        <f t="shared" si="105"/>
        <v>357084</v>
      </c>
      <c r="K253" s="995"/>
      <c r="L253" s="533">
        <f t="shared" si="89"/>
        <v>0.55944288209812232</v>
      </c>
    </row>
    <row r="254" spans="1:12" ht="63.75" hidden="1">
      <c r="A254" s="844"/>
      <c r="B254" s="845"/>
      <c r="C254" s="1076" t="s">
        <v>499</v>
      </c>
      <c r="D254" s="3343">
        <v>2058</v>
      </c>
      <c r="E254" s="625">
        <v>815113</v>
      </c>
      <c r="F254" s="625">
        <v>881219</v>
      </c>
      <c r="G254" s="625">
        <v>0</v>
      </c>
      <c r="H254" s="832">
        <f t="shared" si="104"/>
        <v>0</v>
      </c>
      <c r="I254" s="833">
        <v>0</v>
      </c>
      <c r="J254" s="756">
        <f t="shared" si="105"/>
        <v>0</v>
      </c>
      <c r="K254" s="995"/>
      <c r="L254" s="758">
        <f t="shared" si="89"/>
        <v>0</v>
      </c>
    </row>
    <row r="255" spans="1:12" ht="66.75" customHeight="1">
      <c r="A255" s="844"/>
      <c r="B255" s="845"/>
      <c r="C255" s="1077" t="s">
        <v>500</v>
      </c>
      <c r="D255" s="3344"/>
      <c r="E255" s="535">
        <v>196368</v>
      </c>
      <c r="F255" s="535">
        <v>196368</v>
      </c>
      <c r="G255" s="535">
        <v>78446</v>
      </c>
      <c r="H255" s="832">
        <f t="shared" si="104"/>
        <v>0.39948464108205001</v>
      </c>
      <c r="I255" s="833">
        <v>0</v>
      </c>
      <c r="J255" s="531">
        <f t="shared" si="105"/>
        <v>78446</v>
      </c>
      <c r="K255" s="532"/>
      <c r="L255" s="533">
        <f t="shared" si="89"/>
        <v>0.39948464108205001</v>
      </c>
    </row>
    <row r="256" spans="1:12" ht="65.25" customHeight="1">
      <c r="A256" s="844"/>
      <c r="B256" s="845"/>
      <c r="C256" s="1047" t="s">
        <v>501</v>
      </c>
      <c r="D256" s="3343">
        <v>2059</v>
      </c>
      <c r="E256" s="625">
        <v>127907</v>
      </c>
      <c r="F256" s="625">
        <v>88274</v>
      </c>
      <c r="G256" s="625">
        <v>42439</v>
      </c>
      <c r="H256" s="832">
        <f t="shared" si="104"/>
        <v>0.33179575785531673</v>
      </c>
      <c r="I256" s="833">
        <v>0</v>
      </c>
      <c r="J256" s="531">
        <f t="shared" si="105"/>
        <v>42439</v>
      </c>
      <c r="K256" s="995"/>
      <c r="L256" s="533">
        <f t="shared" si="89"/>
        <v>0.48076443799986407</v>
      </c>
    </row>
    <row r="257" spans="1:12" ht="50.25" customHeight="1">
      <c r="A257" s="844"/>
      <c r="B257" s="845"/>
      <c r="C257" s="1078" t="s">
        <v>496</v>
      </c>
      <c r="D257" s="3343"/>
      <c r="E257" s="535">
        <v>48079</v>
      </c>
      <c r="F257" s="535">
        <v>43319</v>
      </c>
      <c r="G257" s="535">
        <v>24924</v>
      </c>
      <c r="H257" s="832">
        <f t="shared" si="104"/>
        <v>0.5183968052580129</v>
      </c>
      <c r="I257" s="833">
        <v>0</v>
      </c>
      <c r="J257" s="531">
        <f t="shared" si="105"/>
        <v>24924</v>
      </c>
      <c r="K257" s="532"/>
      <c r="L257" s="533">
        <f t="shared" si="89"/>
        <v>0.57535954200235462</v>
      </c>
    </row>
    <row r="258" spans="1:12" ht="63" customHeight="1" thickBot="1">
      <c r="A258" s="844"/>
      <c r="B258" s="1079"/>
      <c r="C258" s="1078" t="s">
        <v>502</v>
      </c>
      <c r="D258" s="3344"/>
      <c r="E258" s="535">
        <v>17000</v>
      </c>
      <c r="F258" s="535">
        <v>17000</v>
      </c>
      <c r="G258" s="535">
        <v>16000</v>
      </c>
      <c r="H258" s="832">
        <f t="shared" si="104"/>
        <v>0.94117647058823528</v>
      </c>
      <c r="I258" s="833">
        <v>0</v>
      </c>
      <c r="J258" s="531">
        <f t="shared" si="105"/>
        <v>16000</v>
      </c>
      <c r="K258" s="701"/>
      <c r="L258" s="770">
        <f t="shared" si="89"/>
        <v>0.94117647058823528</v>
      </c>
    </row>
    <row r="259" spans="1:12" ht="63" hidden="1" customHeight="1">
      <c r="A259" s="844"/>
      <c r="B259" s="845"/>
      <c r="C259" s="1080" t="s">
        <v>503</v>
      </c>
      <c r="D259" s="888">
        <v>2710</v>
      </c>
      <c r="E259" s="625">
        <v>0</v>
      </c>
      <c r="F259" s="545">
        <v>0</v>
      </c>
      <c r="G259" s="545"/>
      <c r="H259" s="832" t="e">
        <f t="shared" si="104"/>
        <v>#DIV/0!</v>
      </c>
      <c r="I259" s="833"/>
      <c r="J259" s="756">
        <f t="shared" si="105"/>
        <v>0</v>
      </c>
      <c r="K259" s="596"/>
      <c r="L259" s="758" t="e">
        <f t="shared" si="89"/>
        <v>#DIV/0!</v>
      </c>
    </row>
    <row r="260" spans="1:12" ht="63.75" hidden="1">
      <c r="A260" s="844"/>
      <c r="B260" s="845"/>
      <c r="C260" s="1077" t="s">
        <v>504</v>
      </c>
      <c r="D260" s="886">
        <v>2918</v>
      </c>
      <c r="E260" s="535">
        <v>0</v>
      </c>
      <c r="F260" s="535">
        <v>16362</v>
      </c>
      <c r="G260" s="535">
        <v>0</v>
      </c>
      <c r="H260" s="666"/>
      <c r="I260" s="667">
        <v>0</v>
      </c>
      <c r="J260" s="531">
        <f t="shared" si="105"/>
        <v>0</v>
      </c>
      <c r="K260" s="532"/>
      <c r="L260" s="533">
        <f t="shared" si="89"/>
        <v>0</v>
      </c>
    </row>
    <row r="261" spans="1:12" ht="63.75" hidden="1">
      <c r="A261" s="844"/>
      <c r="B261" s="1079"/>
      <c r="C261" s="1080" t="s">
        <v>504</v>
      </c>
      <c r="D261" s="888">
        <v>2919</v>
      </c>
      <c r="E261" s="625">
        <v>0</v>
      </c>
      <c r="F261" s="625">
        <v>2888</v>
      </c>
      <c r="G261" s="625">
        <v>0</v>
      </c>
      <c r="H261" s="832"/>
      <c r="I261" s="833">
        <v>0</v>
      </c>
      <c r="J261" s="531">
        <f t="shared" si="105"/>
        <v>0</v>
      </c>
      <c r="K261" s="995"/>
      <c r="L261" s="533">
        <f t="shared" si="89"/>
        <v>0</v>
      </c>
    </row>
    <row r="262" spans="1:12">
      <c r="A262" s="844"/>
      <c r="B262" s="3339" t="s">
        <v>382</v>
      </c>
      <c r="C262" s="3345"/>
      <c r="D262" s="1081"/>
      <c r="E262" s="660">
        <f>SUM(E263:E269)</f>
        <v>2615189</v>
      </c>
      <c r="F262" s="660">
        <f t="shared" ref="F262" si="106">SUM(F263:F269)</f>
        <v>2167872</v>
      </c>
      <c r="G262" s="660">
        <f>SUM(G263:G269)</f>
        <v>4949585</v>
      </c>
      <c r="H262" s="921">
        <f t="shared" si="104"/>
        <v>1.8926299399393314</v>
      </c>
      <c r="I262" s="660">
        <f>SUM(I263:I269)</f>
        <v>0</v>
      </c>
      <c r="J262" s="660">
        <f>SUM(J263:J269)</f>
        <v>4949585</v>
      </c>
      <c r="K262" s="662"/>
      <c r="L262" s="556">
        <f t="shared" si="89"/>
        <v>2.2831537101821509</v>
      </c>
    </row>
    <row r="263" spans="1:12" s="925" customFormat="1" ht="63.75">
      <c r="A263" s="844"/>
      <c r="B263" s="885"/>
      <c r="C263" s="1082" t="s">
        <v>488</v>
      </c>
      <c r="D263" s="886">
        <v>6207</v>
      </c>
      <c r="E263" s="1083">
        <v>1154464</v>
      </c>
      <c r="F263" s="1083">
        <v>708677</v>
      </c>
      <c r="G263" s="1083">
        <v>1113013</v>
      </c>
      <c r="H263" s="746">
        <f t="shared" si="104"/>
        <v>0.96409502591678908</v>
      </c>
      <c r="I263" s="747">
        <v>0</v>
      </c>
      <c r="J263" s="531">
        <f t="shared" si="105"/>
        <v>1113013</v>
      </c>
      <c r="K263" s="596"/>
      <c r="L263" s="533">
        <f t="shared" si="89"/>
        <v>1.5705504764511899</v>
      </c>
    </row>
    <row r="264" spans="1:12" ht="76.5">
      <c r="A264" s="844"/>
      <c r="B264" s="845"/>
      <c r="C264" s="1082" t="s">
        <v>505</v>
      </c>
      <c r="D264" s="886">
        <v>6208</v>
      </c>
      <c r="E264" s="1083">
        <v>1071507</v>
      </c>
      <c r="F264" s="1083">
        <v>1071507</v>
      </c>
      <c r="G264" s="1083">
        <v>3132126</v>
      </c>
      <c r="H264" s="746">
        <f t="shared" si="104"/>
        <v>2.9231036288143706</v>
      </c>
      <c r="I264" s="747">
        <v>0</v>
      </c>
      <c r="J264" s="531">
        <f t="shared" si="105"/>
        <v>3132126</v>
      </c>
      <c r="K264" s="596"/>
      <c r="L264" s="533">
        <f t="shared" si="89"/>
        <v>2.9231036288143706</v>
      </c>
    </row>
    <row r="265" spans="1:12" ht="76.5">
      <c r="A265" s="844"/>
      <c r="B265" s="845"/>
      <c r="C265" s="1082" t="s">
        <v>506</v>
      </c>
      <c r="D265" s="3346">
        <v>6209</v>
      </c>
      <c r="E265" s="1083">
        <v>189090</v>
      </c>
      <c r="F265" s="1083">
        <v>189090</v>
      </c>
      <c r="G265" s="1083">
        <v>552728</v>
      </c>
      <c r="H265" s="746">
        <f t="shared" si="104"/>
        <v>2.9230948225712625</v>
      </c>
      <c r="I265" s="747">
        <v>0</v>
      </c>
      <c r="J265" s="531">
        <f t="shared" si="105"/>
        <v>552728</v>
      </c>
      <c r="K265" s="596"/>
      <c r="L265" s="533">
        <f t="shared" si="89"/>
        <v>2.9230948225712625</v>
      </c>
    </row>
    <row r="266" spans="1:12" ht="64.5" thickBot="1">
      <c r="A266" s="863"/>
      <c r="B266" s="864"/>
      <c r="C266" s="1084" t="s">
        <v>507</v>
      </c>
      <c r="D266" s="3347"/>
      <c r="E266" s="1085">
        <v>69912</v>
      </c>
      <c r="F266" s="1085">
        <v>42916</v>
      </c>
      <c r="G266" s="1085">
        <v>67402</v>
      </c>
      <c r="H266" s="1026">
        <f t="shared" si="104"/>
        <v>0.9640977228515849</v>
      </c>
      <c r="I266" s="866">
        <v>0</v>
      </c>
      <c r="J266" s="700">
        <f t="shared" si="105"/>
        <v>67402</v>
      </c>
      <c r="K266" s="590"/>
      <c r="L266" s="770">
        <f t="shared" si="89"/>
        <v>1.5705564358281294</v>
      </c>
    </row>
    <row r="267" spans="1:12" ht="63.75" customHeight="1">
      <c r="A267" s="844"/>
      <c r="B267" s="845"/>
      <c r="C267" s="1047" t="s">
        <v>488</v>
      </c>
      <c r="D267" s="888">
        <v>6257</v>
      </c>
      <c r="E267" s="1065">
        <v>122780</v>
      </c>
      <c r="F267" s="1065">
        <v>91498</v>
      </c>
      <c r="G267" s="1065">
        <v>79501</v>
      </c>
      <c r="H267" s="746">
        <f t="shared" si="104"/>
        <v>0.64750773741651735</v>
      </c>
      <c r="I267" s="747">
        <v>0</v>
      </c>
      <c r="J267" s="756">
        <f t="shared" si="105"/>
        <v>79501</v>
      </c>
      <c r="K267" s="596"/>
      <c r="L267" s="758">
        <f t="shared" ref="L267:L330" si="107">J267/F267</f>
        <v>0.86888237994273099</v>
      </c>
    </row>
    <row r="268" spans="1:12" ht="63.75" customHeight="1" thickBot="1">
      <c r="A268" s="844"/>
      <c r="B268" s="845"/>
      <c r="C268" s="1086" t="s">
        <v>507</v>
      </c>
      <c r="D268" s="1087">
        <v>6259</v>
      </c>
      <c r="E268" s="634">
        <v>7436</v>
      </c>
      <c r="F268" s="634">
        <v>5541</v>
      </c>
      <c r="G268" s="634">
        <v>4815</v>
      </c>
      <c r="H268" s="754">
        <f t="shared" si="104"/>
        <v>0.6475255513717052</v>
      </c>
      <c r="I268" s="755">
        <v>0</v>
      </c>
      <c r="J268" s="531">
        <f t="shared" si="105"/>
        <v>4815</v>
      </c>
      <c r="K268" s="757"/>
      <c r="L268" s="533">
        <f t="shared" si="107"/>
        <v>0.86897671900378992</v>
      </c>
    </row>
    <row r="269" spans="1:12" ht="39" hidden="1" thickBot="1">
      <c r="A269" s="863"/>
      <c r="B269" s="864"/>
      <c r="C269" s="1088" t="s">
        <v>508</v>
      </c>
      <c r="D269" s="1089">
        <v>6699</v>
      </c>
      <c r="E269" s="698">
        <v>0</v>
      </c>
      <c r="F269" s="698">
        <v>58643</v>
      </c>
      <c r="G269" s="698">
        <v>0</v>
      </c>
      <c r="H269" s="629"/>
      <c r="I269" s="647">
        <v>0</v>
      </c>
      <c r="J269" s="531">
        <f t="shared" si="105"/>
        <v>0</v>
      </c>
      <c r="K269" s="532"/>
      <c r="L269" s="780">
        <f t="shared" si="107"/>
        <v>0</v>
      </c>
    </row>
    <row r="270" spans="1:12" ht="15.75" thickBot="1">
      <c r="A270" s="1090">
        <v>752</v>
      </c>
      <c r="B270" s="1091"/>
      <c r="C270" s="1092" t="s">
        <v>24</v>
      </c>
      <c r="D270" s="1093"/>
      <c r="E270" s="509">
        <f>SUM(E271)</f>
        <v>0</v>
      </c>
      <c r="F270" s="509">
        <f t="shared" ref="F270:J270" si="108">SUM(F271)</f>
        <v>0</v>
      </c>
      <c r="G270" s="509">
        <f t="shared" si="108"/>
        <v>0</v>
      </c>
      <c r="H270" s="510"/>
      <c r="I270" s="509">
        <f t="shared" si="108"/>
        <v>5000</v>
      </c>
      <c r="J270" s="509">
        <f t="shared" si="108"/>
        <v>5000</v>
      </c>
      <c r="K270" s="1094"/>
      <c r="L270" s="643"/>
    </row>
    <row r="271" spans="1:12" ht="17.25" customHeight="1" thickBot="1">
      <c r="A271" s="1095"/>
      <c r="B271" s="1096">
        <v>75212</v>
      </c>
      <c r="C271" s="1097" t="s">
        <v>79</v>
      </c>
      <c r="D271" s="1098"/>
      <c r="E271" s="518">
        <f t="shared" ref="E271:G271" si="109">SUM(E272,E274)</f>
        <v>0</v>
      </c>
      <c r="F271" s="518">
        <f t="shared" si="109"/>
        <v>0</v>
      </c>
      <c r="G271" s="518">
        <f t="shared" si="109"/>
        <v>0</v>
      </c>
      <c r="H271" s="519"/>
      <c r="I271" s="518">
        <f t="shared" ref="I271:J271" si="110">SUM(I272,I274)</f>
        <v>5000</v>
      </c>
      <c r="J271" s="518">
        <f t="shared" si="110"/>
        <v>5000</v>
      </c>
      <c r="K271" s="552"/>
      <c r="L271" s="553"/>
    </row>
    <row r="272" spans="1:12" ht="15" customHeight="1">
      <c r="A272" s="1099"/>
      <c r="B272" s="3263" t="s">
        <v>338</v>
      </c>
      <c r="C272" s="3263"/>
      <c r="D272" s="1100"/>
      <c r="E272" s="524">
        <f>SUM(E273)</f>
        <v>0</v>
      </c>
      <c r="F272" s="524">
        <f t="shared" ref="F272:J272" si="111">SUM(F273)</f>
        <v>0</v>
      </c>
      <c r="G272" s="524">
        <f t="shared" si="111"/>
        <v>0</v>
      </c>
      <c r="H272" s="1101"/>
      <c r="I272" s="555">
        <f t="shared" si="111"/>
        <v>5000</v>
      </c>
      <c r="J272" s="524">
        <f t="shared" si="111"/>
        <v>5000</v>
      </c>
      <c r="K272" s="931"/>
      <c r="L272" s="1102"/>
    </row>
    <row r="273" spans="1:12" ht="38.25" customHeight="1">
      <c r="A273" s="1099"/>
      <c r="B273" s="1103"/>
      <c r="C273" s="1056" t="s">
        <v>363</v>
      </c>
      <c r="D273" s="1104">
        <v>2210</v>
      </c>
      <c r="E273" s="535">
        <v>0</v>
      </c>
      <c r="F273" s="535">
        <v>0</v>
      </c>
      <c r="G273" s="535">
        <v>0</v>
      </c>
      <c r="H273" s="530"/>
      <c r="I273" s="756">
        <v>5000</v>
      </c>
      <c r="J273" s="531">
        <f t="shared" ref="J273" si="112">SUM(G273,I273)</f>
        <v>5000</v>
      </c>
      <c r="K273" s="532"/>
      <c r="L273" s="533"/>
    </row>
    <row r="274" spans="1:12" ht="15.75" thickBot="1">
      <c r="A274" s="1099"/>
      <c r="B274" s="3308" t="s">
        <v>343</v>
      </c>
      <c r="C274" s="3308"/>
      <c r="D274" s="1105"/>
      <c r="E274" s="677">
        <v>0</v>
      </c>
      <c r="F274" s="677">
        <v>0</v>
      </c>
      <c r="G274" s="677">
        <v>0</v>
      </c>
      <c r="H274" s="678"/>
      <c r="I274" s="1106"/>
      <c r="J274" s="677">
        <v>0</v>
      </c>
      <c r="K274" s="676"/>
      <c r="L274" s="541"/>
    </row>
    <row r="275" spans="1:12" ht="26.25" hidden="1" thickBot="1">
      <c r="A275" s="1090">
        <v>754</v>
      </c>
      <c r="B275" s="1091"/>
      <c r="C275" s="1092" t="s">
        <v>509</v>
      </c>
      <c r="D275" s="1093"/>
      <c r="E275" s="1107">
        <f>SUM(E276)</f>
        <v>0</v>
      </c>
      <c r="F275" s="1107">
        <f t="shared" ref="F275:G275" si="113">SUM(F276)</f>
        <v>0</v>
      </c>
      <c r="G275" s="1107">
        <f t="shared" si="113"/>
        <v>0</v>
      </c>
      <c r="H275" s="1108" t="e">
        <f t="shared" ref="H275:H278" si="114">G275/F275</f>
        <v>#DIV/0!</v>
      </c>
      <c r="I275" s="1109"/>
      <c r="J275" s="531">
        <f t="shared" si="105"/>
        <v>0</v>
      </c>
      <c r="K275" s="708"/>
      <c r="L275" s="563" t="e">
        <f t="shared" si="107"/>
        <v>#DIV/0!</v>
      </c>
    </row>
    <row r="276" spans="1:12" ht="29.25" hidden="1" customHeight="1" thickBot="1">
      <c r="A276" s="1095"/>
      <c r="B276" s="1096">
        <v>75421</v>
      </c>
      <c r="C276" s="1097" t="s">
        <v>510</v>
      </c>
      <c r="D276" s="1098"/>
      <c r="E276" s="1110">
        <f t="shared" ref="E276:G276" si="115">SUM(E277,E279)</f>
        <v>0</v>
      </c>
      <c r="F276" s="1110">
        <f t="shared" si="115"/>
        <v>0</v>
      </c>
      <c r="G276" s="1110">
        <f t="shared" si="115"/>
        <v>0</v>
      </c>
      <c r="H276" s="1111" t="e">
        <f t="shared" si="114"/>
        <v>#DIV/0!</v>
      </c>
      <c r="I276" s="707"/>
      <c r="J276" s="531">
        <f t="shared" si="105"/>
        <v>0</v>
      </c>
      <c r="K276" s="708"/>
      <c r="L276" s="563" t="e">
        <f t="shared" si="107"/>
        <v>#DIV/0!</v>
      </c>
    </row>
    <row r="277" spans="1:12" ht="18.75" hidden="1" customHeight="1">
      <c r="A277" s="1099"/>
      <c r="B277" s="3263" t="s">
        <v>338</v>
      </c>
      <c r="C277" s="3263"/>
      <c r="D277" s="1100"/>
      <c r="E277" s="956">
        <f>SUM(E278)</f>
        <v>0</v>
      </c>
      <c r="F277" s="956">
        <f t="shared" ref="F277:G277" si="116">SUM(F278)</f>
        <v>0</v>
      </c>
      <c r="G277" s="956">
        <f t="shared" si="116"/>
        <v>0</v>
      </c>
      <c r="H277" s="957" t="e">
        <f t="shared" si="114"/>
        <v>#DIV/0!</v>
      </c>
      <c r="I277" s="712"/>
      <c r="J277" s="531">
        <f t="shared" si="105"/>
        <v>0</v>
      </c>
      <c r="K277" s="708"/>
      <c r="L277" s="563" t="e">
        <f t="shared" si="107"/>
        <v>#DIV/0!</v>
      </c>
    </row>
    <row r="278" spans="1:12" ht="41.25" hidden="1" customHeight="1">
      <c r="A278" s="1099"/>
      <c r="B278" s="1103"/>
      <c r="C278" s="1112" t="s">
        <v>511</v>
      </c>
      <c r="D278" s="1104">
        <v>2310</v>
      </c>
      <c r="E278" s="600">
        <v>0</v>
      </c>
      <c r="F278" s="600">
        <v>0</v>
      </c>
      <c r="G278" s="600">
        <v>0</v>
      </c>
      <c r="H278" s="601" t="e">
        <f t="shared" si="114"/>
        <v>#DIV/0!</v>
      </c>
      <c r="I278" s="547"/>
      <c r="J278" s="531">
        <f t="shared" si="105"/>
        <v>0</v>
      </c>
      <c r="K278" s="708"/>
      <c r="L278" s="563" t="e">
        <f t="shared" si="107"/>
        <v>#DIV/0!</v>
      </c>
    </row>
    <row r="279" spans="1:12" ht="15.75" hidden="1" thickBot="1">
      <c r="A279" s="1099"/>
      <c r="B279" s="3308" t="s">
        <v>343</v>
      </c>
      <c r="C279" s="3308"/>
      <c r="D279" s="1105"/>
      <c r="E279" s="710">
        <v>0</v>
      </c>
      <c r="F279" s="710">
        <v>0</v>
      </c>
      <c r="G279" s="710">
        <v>0</v>
      </c>
      <c r="H279" s="711"/>
      <c r="I279" s="712"/>
      <c r="J279" s="531">
        <f t="shared" si="105"/>
        <v>0</v>
      </c>
      <c r="K279" s="708"/>
      <c r="L279" s="549" t="e">
        <f t="shared" si="107"/>
        <v>#DIV/0!</v>
      </c>
    </row>
    <row r="280" spans="1:12" ht="38.25" customHeight="1" thickBot="1">
      <c r="A280" s="727">
        <v>756</v>
      </c>
      <c r="B280" s="1113"/>
      <c r="C280" s="1114" t="s">
        <v>512</v>
      </c>
      <c r="D280" s="730"/>
      <c r="E280" s="653">
        <f>SUM(E281,E287)</f>
        <v>231302956</v>
      </c>
      <c r="F280" s="653">
        <f>SUM(F281,F287)</f>
        <v>231302956</v>
      </c>
      <c r="G280" s="653">
        <f>SUM(G281,G287)</f>
        <v>238577162</v>
      </c>
      <c r="H280" s="986">
        <f t="shared" ref="H280:H343" si="117">G280/E280</f>
        <v>1.031448824199203</v>
      </c>
      <c r="I280" s="653">
        <f>SUM(I281,I287)</f>
        <v>127474130</v>
      </c>
      <c r="J280" s="653">
        <f>SUM(J281,J287)</f>
        <v>366051292</v>
      </c>
      <c r="K280" s="1094"/>
      <c r="L280" s="643">
        <f t="shared" si="107"/>
        <v>1.5825621009357096</v>
      </c>
    </row>
    <row r="281" spans="1:12" ht="29.25" customHeight="1" thickBot="1">
      <c r="A281" s="734"/>
      <c r="B281" s="1115">
        <v>75618</v>
      </c>
      <c r="C281" s="516" t="s">
        <v>513</v>
      </c>
      <c r="D281" s="517"/>
      <c r="E281" s="518">
        <f>SUM(E282,E286)</f>
        <v>5193917</v>
      </c>
      <c r="F281" s="518">
        <f>SUM(F282,F286)</f>
        <v>5193917</v>
      </c>
      <c r="G281" s="518">
        <f>SUM(G282,G286)</f>
        <v>5684852</v>
      </c>
      <c r="H281" s="616">
        <f t="shared" si="117"/>
        <v>1.094521148489666</v>
      </c>
      <c r="I281" s="518">
        <f>SUM(I282,I286)</f>
        <v>0</v>
      </c>
      <c r="J281" s="518">
        <f>SUM(J282,J286)</f>
        <v>5684852</v>
      </c>
      <c r="K281" s="552"/>
      <c r="L281" s="553">
        <f t="shared" si="107"/>
        <v>1.094521148489666</v>
      </c>
    </row>
    <row r="282" spans="1:12">
      <c r="A282" s="844"/>
      <c r="B282" s="3332" t="s">
        <v>338</v>
      </c>
      <c r="C282" s="3333"/>
      <c r="D282" s="1116"/>
      <c r="E282" s="524">
        <f>SUM(E283:E285)</f>
        <v>5193917</v>
      </c>
      <c r="F282" s="524">
        <f>SUM(F283:F285)</f>
        <v>5193917</v>
      </c>
      <c r="G282" s="524">
        <f>SUM(G283:G285)</f>
        <v>5684852</v>
      </c>
      <c r="H282" s="800">
        <f t="shared" si="117"/>
        <v>1.094521148489666</v>
      </c>
      <c r="I282" s="524">
        <f>SUM(I283:I285)</f>
        <v>0</v>
      </c>
      <c r="J282" s="524">
        <f>SUM(J283:J285)</f>
        <v>5684852</v>
      </c>
      <c r="K282" s="931"/>
      <c r="L282" s="556">
        <f t="shared" si="107"/>
        <v>1.094521148489666</v>
      </c>
    </row>
    <row r="283" spans="1:12" ht="25.5" customHeight="1">
      <c r="A283" s="844"/>
      <c r="B283" s="3334"/>
      <c r="C283" s="1117" t="s">
        <v>514</v>
      </c>
      <c r="D283" s="994" t="s">
        <v>515</v>
      </c>
      <c r="E283" s="535">
        <v>4637417</v>
      </c>
      <c r="F283" s="535">
        <v>4637417</v>
      </c>
      <c r="G283" s="535">
        <v>4942352</v>
      </c>
      <c r="H283" s="629">
        <f t="shared" si="117"/>
        <v>1.06575535475891</v>
      </c>
      <c r="I283" s="535">
        <v>0</v>
      </c>
      <c r="J283" s="531">
        <f t="shared" ref="J283:J285" si="118">SUM(G283,I283)</f>
        <v>4942352</v>
      </c>
      <c r="K283" s="532"/>
      <c r="L283" s="533">
        <f t="shared" si="107"/>
        <v>1.06575535475891</v>
      </c>
    </row>
    <row r="284" spans="1:12" ht="25.5">
      <c r="A284" s="844"/>
      <c r="B284" s="3335"/>
      <c r="C284" s="1003" t="s">
        <v>516</v>
      </c>
      <c r="D284" s="534" t="s">
        <v>517</v>
      </c>
      <c r="E284" s="535">
        <v>536500</v>
      </c>
      <c r="F284" s="535">
        <v>536500</v>
      </c>
      <c r="G284" s="535">
        <v>722500</v>
      </c>
      <c r="H284" s="629">
        <f t="shared" si="117"/>
        <v>1.3466915191053122</v>
      </c>
      <c r="I284" s="535">
        <v>0</v>
      </c>
      <c r="J284" s="531">
        <f t="shared" si="118"/>
        <v>722500</v>
      </c>
      <c r="K284" s="532"/>
      <c r="L284" s="533">
        <f t="shared" si="107"/>
        <v>1.3466915191053122</v>
      </c>
    </row>
    <row r="285" spans="1:12" ht="25.5">
      <c r="A285" s="844"/>
      <c r="B285" s="3336"/>
      <c r="C285" s="1118" t="s">
        <v>518</v>
      </c>
      <c r="D285" s="1119" t="s">
        <v>342</v>
      </c>
      <c r="E285" s="625">
        <v>20000</v>
      </c>
      <c r="F285" s="625">
        <v>20000</v>
      </c>
      <c r="G285" s="625">
        <v>20000</v>
      </c>
      <c r="H285" s="746">
        <f t="shared" si="117"/>
        <v>1</v>
      </c>
      <c r="I285" s="625">
        <v>0</v>
      </c>
      <c r="J285" s="531">
        <f t="shared" si="118"/>
        <v>20000</v>
      </c>
      <c r="K285" s="995"/>
      <c r="L285" s="533">
        <f t="shared" si="107"/>
        <v>1</v>
      </c>
    </row>
    <row r="286" spans="1:12" s="925" customFormat="1" ht="15.75" thickBot="1">
      <c r="A286" s="844"/>
      <c r="B286" s="3337" t="s">
        <v>343</v>
      </c>
      <c r="C286" s="3338"/>
      <c r="D286" s="649"/>
      <c r="E286" s="605">
        <v>0</v>
      </c>
      <c r="F286" s="605">
        <v>0</v>
      </c>
      <c r="G286" s="605">
        <v>0</v>
      </c>
      <c r="H286" s="810"/>
      <c r="I286" s="605">
        <v>0</v>
      </c>
      <c r="J286" s="605">
        <v>0</v>
      </c>
      <c r="K286" s="670"/>
      <c r="L286" s="608"/>
    </row>
    <row r="287" spans="1:12" ht="26.25" thickBot="1">
      <c r="A287" s="844"/>
      <c r="B287" s="1030">
        <v>75623</v>
      </c>
      <c r="C287" s="952" t="s">
        <v>519</v>
      </c>
      <c r="D287" s="953"/>
      <c r="E287" s="1120">
        <f t="shared" ref="E287:G287" si="119">SUM(E288,E291)</f>
        <v>226109039</v>
      </c>
      <c r="F287" s="1120">
        <f t="shared" si="119"/>
        <v>226109039</v>
      </c>
      <c r="G287" s="1120">
        <f t="shared" si="119"/>
        <v>232892310</v>
      </c>
      <c r="H287" s="1034">
        <f t="shared" si="117"/>
        <v>1.0299999992481503</v>
      </c>
      <c r="I287" s="1120">
        <f t="shared" ref="I287:J287" si="120">SUM(I288,I291)</f>
        <v>127474130</v>
      </c>
      <c r="J287" s="1120">
        <f t="shared" si="120"/>
        <v>360366440</v>
      </c>
      <c r="K287" s="1121"/>
      <c r="L287" s="1054">
        <f t="shared" si="107"/>
        <v>1.5937728168399319</v>
      </c>
    </row>
    <row r="288" spans="1:12">
      <c r="A288" s="844"/>
      <c r="B288" s="3339" t="s">
        <v>338</v>
      </c>
      <c r="C288" s="3340"/>
      <c r="D288" s="1122"/>
      <c r="E288" s="524">
        <f>SUM(E289:E290)</f>
        <v>226109039</v>
      </c>
      <c r="F288" s="524">
        <f t="shared" ref="F288:G288" si="121">SUM(F289:F290)</f>
        <v>226109039</v>
      </c>
      <c r="G288" s="524">
        <f t="shared" si="121"/>
        <v>232892310</v>
      </c>
      <c r="H288" s="800">
        <f t="shared" si="117"/>
        <v>1.0299999992481503</v>
      </c>
      <c r="I288" s="524">
        <f t="shared" ref="I288:J288" si="122">SUM(I289:I290)</f>
        <v>127474130</v>
      </c>
      <c r="J288" s="524">
        <f t="shared" si="122"/>
        <v>360366440</v>
      </c>
      <c r="K288" s="801"/>
      <c r="L288" s="556">
        <f t="shared" si="107"/>
        <v>1.5937728168399319</v>
      </c>
    </row>
    <row r="289" spans="1:13" ht="27" customHeight="1">
      <c r="A289" s="844"/>
      <c r="B289" s="3341"/>
      <c r="C289" s="792" t="s">
        <v>520</v>
      </c>
      <c r="D289" s="793" t="s">
        <v>521</v>
      </c>
      <c r="E289" s="535">
        <v>60869039</v>
      </c>
      <c r="F289" s="535">
        <v>60869039</v>
      </c>
      <c r="G289" s="535">
        <v>62695110</v>
      </c>
      <c r="H289" s="629">
        <f t="shared" si="117"/>
        <v>1.0299999972071188</v>
      </c>
      <c r="I289" s="647">
        <v>938775</v>
      </c>
      <c r="J289" s="647">
        <f>G289+I289</f>
        <v>63633885</v>
      </c>
      <c r="K289" s="1123" t="s">
        <v>522</v>
      </c>
      <c r="L289" s="533">
        <f t="shared" si="107"/>
        <v>1.0454228626806479</v>
      </c>
    </row>
    <row r="290" spans="1:13" ht="24" customHeight="1">
      <c r="A290" s="844"/>
      <c r="B290" s="3342"/>
      <c r="C290" s="792" t="s">
        <v>523</v>
      </c>
      <c r="D290" s="793" t="s">
        <v>524</v>
      </c>
      <c r="E290" s="535">
        <v>165240000</v>
      </c>
      <c r="F290" s="535">
        <v>165240000</v>
      </c>
      <c r="G290" s="535">
        <v>170197200</v>
      </c>
      <c r="H290" s="629">
        <f t="shared" si="117"/>
        <v>1.03</v>
      </c>
      <c r="I290" s="647">
        <v>126535355</v>
      </c>
      <c r="J290" s="647">
        <f>G290+I290</f>
        <v>296732555</v>
      </c>
      <c r="K290" s="1123" t="s">
        <v>525</v>
      </c>
      <c r="L290" s="533">
        <f t="shared" si="107"/>
        <v>1.7957670963447108</v>
      </c>
    </row>
    <row r="291" spans="1:13" ht="16.5" customHeight="1" thickBot="1">
      <c r="A291" s="863"/>
      <c r="B291" s="3328" t="s">
        <v>343</v>
      </c>
      <c r="C291" s="3329"/>
      <c r="D291" s="809"/>
      <c r="E291" s="605">
        <v>0</v>
      </c>
      <c r="F291" s="605">
        <v>0</v>
      </c>
      <c r="G291" s="605">
        <v>0</v>
      </c>
      <c r="H291" s="810"/>
      <c r="I291" s="605">
        <v>0</v>
      </c>
      <c r="J291" s="605">
        <v>0</v>
      </c>
      <c r="K291" s="607"/>
      <c r="L291" s="576"/>
    </row>
    <row r="292" spans="1:13" s="564" customFormat="1" ht="15" customHeight="1" thickBot="1">
      <c r="A292" s="1124">
        <v>758</v>
      </c>
      <c r="B292" s="1125"/>
      <c r="C292" s="1126" t="s">
        <v>526</v>
      </c>
      <c r="D292" s="1127"/>
      <c r="E292" s="1128">
        <f>SUM(E293,E303,E307,E311,E319,E323,E337,E297,E315)</f>
        <v>723178058</v>
      </c>
      <c r="F292" s="1128">
        <f t="shared" ref="F292:G292" si="123">SUM(F293,F303,F307,F311,F319,F323,F337,F297,F315)</f>
        <v>740771112</v>
      </c>
      <c r="G292" s="509">
        <f t="shared" si="123"/>
        <v>537639876</v>
      </c>
      <c r="H292" s="732">
        <f t="shared" si="117"/>
        <v>0.74344052623344392</v>
      </c>
      <c r="I292" s="509">
        <f t="shared" ref="I292:J292" si="124">SUM(I293,I303,I307,I311,I319,I323,I337,I297,I315)</f>
        <v>162281431</v>
      </c>
      <c r="J292" s="509">
        <f t="shared" si="124"/>
        <v>699921307</v>
      </c>
      <c r="K292" s="733"/>
      <c r="L292" s="643">
        <f t="shared" si="107"/>
        <v>0.94485502426017931</v>
      </c>
    </row>
    <row r="293" spans="1:13" ht="30" customHeight="1" thickBot="1">
      <c r="A293" s="1129"/>
      <c r="B293" s="1130">
        <v>75801</v>
      </c>
      <c r="C293" s="1131" t="s">
        <v>527</v>
      </c>
      <c r="D293" s="1132"/>
      <c r="E293" s="518">
        <f t="shared" ref="E293:G293" si="125">SUM(E294,E296)</f>
        <v>32798893</v>
      </c>
      <c r="F293" s="518">
        <f t="shared" si="125"/>
        <v>34331883</v>
      </c>
      <c r="G293" s="518">
        <f t="shared" si="125"/>
        <v>35361839</v>
      </c>
      <c r="H293" s="616">
        <f t="shared" si="117"/>
        <v>1.0781412348276511</v>
      </c>
      <c r="I293" s="518">
        <f t="shared" ref="I293:J293" si="126">SUM(I294,I296)</f>
        <v>-1513860</v>
      </c>
      <c r="J293" s="518">
        <f t="shared" si="126"/>
        <v>33847979</v>
      </c>
      <c r="K293" s="738"/>
      <c r="L293" s="553">
        <f t="shared" si="107"/>
        <v>0.98590511333153497</v>
      </c>
    </row>
    <row r="294" spans="1:13" ht="16.5" customHeight="1">
      <c r="A294" s="1133"/>
      <c r="B294" s="3243" t="s">
        <v>338</v>
      </c>
      <c r="C294" s="3243"/>
      <c r="D294" s="1100"/>
      <c r="E294" s="524">
        <f>SUM(E295)</f>
        <v>32798893</v>
      </c>
      <c r="F294" s="524">
        <f t="shared" ref="F294:J294" si="127">SUM(F295)</f>
        <v>34331883</v>
      </c>
      <c r="G294" s="524">
        <f t="shared" si="127"/>
        <v>35361839</v>
      </c>
      <c r="H294" s="800">
        <f t="shared" si="117"/>
        <v>1.0781412348276511</v>
      </c>
      <c r="I294" s="524">
        <f t="shared" si="127"/>
        <v>-1513860</v>
      </c>
      <c r="J294" s="524">
        <f t="shared" si="127"/>
        <v>33847979</v>
      </c>
      <c r="K294" s="801"/>
      <c r="L294" s="556">
        <f t="shared" si="107"/>
        <v>0.98590511333153497</v>
      </c>
    </row>
    <row r="295" spans="1:13" ht="24.75" customHeight="1">
      <c r="A295" s="1133"/>
      <c r="B295" s="1134"/>
      <c r="C295" s="1135" t="s">
        <v>528</v>
      </c>
      <c r="D295" s="1136">
        <v>2920</v>
      </c>
      <c r="E295" s="535">
        <v>32798893</v>
      </c>
      <c r="F295" s="535">
        <v>34331883</v>
      </c>
      <c r="G295" s="535">
        <v>35361839</v>
      </c>
      <c r="H295" s="629">
        <f t="shared" si="117"/>
        <v>1.0781412348276511</v>
      </c>
      <c r="I295" s="647">
        <v>-1513860</v>
      </c>
      <c r="J295" s="647">
        <f>G295+I295</f>
        <v>33847979</v>
      </c>
      <c r="K295" s="1123" t="s">
        <v>529</v>
      </c>
      <c r="L295" s="533">
        <f t="shared" si="107"/>
        <v>0.98590511333153497</v>
      </c>
    </row>
    <row r="296" spans="1:13" ht="15.75" thickBot="1">
      <c r="A296" s="1133"/>
      <c r="B296" s="3236" t="s">
        <v>343</v>
      </c>
      <c r="C296" s="3236"/>
      <c r="D296" s="1137"/>
      <c r="E296" s="605">
        <v>0</v>
      </c>
      <c r="F296" s="605">
        <v>0</v>
      </c>
      <c r="G296" s="605">
        <v>0</v>
      </c>
      <c r="H296" s="810"/>
      <c r="I296" s="605">
        <v>0</v>
      </c>
      <c r="J296" s="605">
        <v>0</v>
      </c>
      <c r="K296" s="607"/>
      <c r="L296" s="576"/>
    </row>
    <row r="297" spans="1:13" ht="26.25" hidden="1" thickBot="1">
      <c r="A297" s="1133"/>
      <c r="B297" s="1130">
        <v>75802</v>
      </c>
      <c r="C297" s="1131" t="s">
        <v>530</v>
      </c>
      <c r="D297" s="1132"/>
      <c r="E297" s="518">
        <f>E298+E301</f>
        <v>20664835</v>
      </c>
      <c r="F297" s="518">
        <f>F298+F301</f>
        <v>2856635</v>
      </c>
      <c r="G297" s="518">
        <f>G298+G301</f>
        <v>0</v>
      </c>
      <c r="H297" s="616">
        <f t="shared" si="117"/>
        <v>0</v>
      </c>
      <c r="I297" s="518">
        <f>I298+I301</f>
        <v>0</v>
      </c>
      <c r="J297" s="518">
        <f>J298+J301</f>
        <v>0</v>
      </c>
      <c r="K297" s="738"/>
      <c r="L297" s="553">
        <f t="shared" si="107"/>
        <v>0</v>
      </c>
    </row>
    <row r="298" spans="1:13" ht="15.75" hidden="1" thickBot="1">
      <c r="A298" s="1138"/>
      <c r="B298" s="3225" t="s">
        <v>338</v>
      </c>
      <c r="C298" s="3226"/>
      <c r="D298" s="1139"/>
      <c r="E298" s="555">
        <f>SUM(E299:E300)</f>
        <v>20664835</v>
      </c>
      <c r="F298" s="555">
        <f>SUM(F299:F300)</f>
        <v>0</v>
      </c>
      <c r="G298" s="555">
        <f>SUM(G299:G300)</f>
        <v>0</v>
      </c>
      <c r="H298" s="1140">
        <f t="shared" si="117"/>
        <v>0</v>
      </c>
      <c r="I298" s="555">
        <f>SUM(I299:I300)</f>
        <v>0</v>
      </c>
      <c r="J298" s="555">
        <f>SUM(J299:J300)</f>
        <v>0</v>
      </c>
      <c r="K298" s="1141"/>
      <c r="L298" s="1102"/>
    </row>
    <row r="299" spans="1:13" ht="39" hidden="1" thickBot="1">
      <c r="A299" s="1138"/>
      <c r="B299" s="3245"/>
      <c r="C299" s="1142" t="s">
        <v>531</v>
      </c>
      <c r="D299" s="1143">
        <v>2770</v>
      </c>
      <c r="E299" s="899">
        <v>20664835</v>
      </c>
      <c r="F299" s="625">
        <v>0</v>
      </c>
      <c r="G299" s="625">
        <v>0</v>
      </c>
      <c r="H299" s="1144">
        <f t="shared" si="117"/>
        <v>0</v>
      </c>
      <c r="I299" s="625">
        <v>0</v>
      </c>
      <c r="J299" s="625">
        <v>0</v>
      </c>
      <c r="K299" s="1145" t="s">
        <v>532</v>
      </c>
      <c r="L299" s="533"/>
    </row>
    <row r="300" spans="1:13" ht="39" hidden="1" thickBot="1">
      <c r="A300" s="1138"/>
      <c r="B300" s="3246"/>
      <c r="C300" s="1146" t="s">
        <v>533</v>
      </c>
      <c r="D300" s="1147">
        <v>2920</v>
      </c>
      <c r="E300" s="535">
        <v>0</v>
      </c>
      <c r="F300" s="535">
        <v>0</v>
      </c>
      <c r="G300" s="535">
        <v>0</v>
      </c>
      <c r="H300" s="629" t="e">
        <f t="shared" si="117"/>
        <v>#DIV/0!</v>
      </c>
      <c r="I300" s="535">
        <v>0</v>
      </c>
      <c r="J300" s="535">
        <v>0</v>
      </c>
      <c r="K300" s="603"/>
      <c r="L300" s="563" t="e">
        <f t="shared" si="107"/>
        <v>#DIV/0!</v>
      </c>
      <c r="M300" s="838"/>
    </row>
    <row r="301" spans="1:13" ht="15.75" hidden="1" thickBot="1">
      <c r="A301" s="1138"/>
      <c r="B301" s="3330" t="s">
        <v>382</v>
      </c>
      <c r="C301" s="3331"/>
      <c r="D301" s="1148"/>
      <c r="E301" s="660">
        <f t="shared" ref="E301" si="128">E302</f>
        <v>0</v>
      </c>
      <c r="F301" s="660">
        <f>F302</f>
        <v>2856635</v>
      </c>
      <c r="G301" s="538">
        <f>G302</f>
        <v>0</v>
      </c>
      <c r="H301" s="1149"/>
      <c r="I301" s="660">
        <f>I302</f>
        <v>0</v>
      </c>
      <c r="J301" s="660">
        <f>J302</f>
        <v>0</v>
      </c>
      <c r="K301" s="621"/>
      <c r="L301" s="693">
        <f t="shared" si="107"/>
        <v>0</v>
      </c>
    </row>
    <row r="302" spans="1:13" ht="64.5" hidden="1" thickBot="1">
      <c r="A302" s="1138"/>
      <c r="B302" s="1150"/>
      <c r="C302" s="1151" t="s">
        <v>534</v>
      </c>
      <c r="D302" s="1152">
        <v>6180</v>
      </c>
      <c r="E302" s="586">
        <v>0</v>
      </c>
      <c r="F302" s="586">
        <v>2856635</v>
      </c>
      <c r="G302" s="586">
        <v>0</v>
      </c>
      <c r="H302" s="1026"/>
      <c r="I302" s="866">
        <v>0</v>
      </c>
      <c r="J302" s="647">
        <f>G302+I302</f>
        <v>0</v>
      </c>
      <c r="K302" s="590"/>
      <c r="L302" s="780">
        <f t="shared" si="107"/>
        <v>0</v>
      </c>
      <c r="M302" s="838"/>
    </row>
    <row r="303" spans="1:13" ht="15.75" thickBot="1">
      <c r="A303" s="1133"/>
      <c r="B303" s="1130">
        <v>75804</v>
      </c>
      <c r="C303" s="1131" t="s">
        <v>535</v>
      </c>
      <c r="D303" s="1132"/>
      <c r="E303" s="656">
        <f t="shared" ref="E303:G303" si="129">SUM(E304,E306)</f>
        <v>221512354</v>
      </c>
      <c r="F303" s="656">
        <f t="shared" si="129"/>
        <v>221512354</v>
      </c>
      <c r="G303" s="656">
        <f t="shared" si="129"/>
        <v>168098604</v>
      </c>
      <c r="H303" s="781">
        <f t="shared" si="117"/>
        <v>0.75886785077458929</v>
      </c>
      <c r="I303" s="656">
        <f t="shared" ref="I303:J303" si="130">SUM(I304,I306)</f>
        <v>101088919</v>
      </c>
      <c r="J303" s="656">
        <f t="shared" si="130"/>
        <v>269187523</v>
      </c>
      <c r="K303" s="617"/>
      <c r="L303" s="553">
        <f t="shared" si="107"/>
        <v>1.2152257792357712</v>
      </c>
    </row>
    <row r="304" spans="1:13">
      <c r="A304" s="1133"/>
      <c r="B304" s="3243" t="s">
        <v>338</v>
      </c>
      <c r="C304" s="3243"/>
      <c r="D304" s="1100"/>
      <c r="E304" s="524">
        <f>SUM(E305)</f>
        <v>221512354</v>
      </c>
      <c r="F304" s="524">
        <f>SUM(F305)</f>
        <v>221512354</v>
      </c>
      <c r="G304" s="524">
        <f>SUM(G305)</f>
        <v>168098604</v>
      </c>
      <c r="H304" s="800">
        <f t="shared" si="117"/>
        <v>0.75886785077458929</v>
      </c>
      <c r="I304" s="524">
        <f>SUM(I305)</f>
        <v>101088919</v>
      </c>
      <c r="J304" s="524">
        <f>SUM(J305)</f>
        <v>269187523</v>
      </c>
      <c r="K304" s="801"/>
      <c r="L304" s="556">
        <f t="shared" si="107"/>
        <v>1.2152257792357712</v>
      </c>
      <c r="M304" s="838"/>
    </row>
    <row r="305" spans="1:13" ht="24" customHeight="1">
      <c r="A305" s="1133"/>
      <c r="B305" s="1153"/>
      <c r="C305" s="1154" t="s">
        <v>528</v>
      </c>
      <c r="D305" s="1155">
        <v>2920</v>
      </c>
      <c r="E305" s="634">
        <v>221512354</v>
      </c>
      <c r="F305" s="634">
        <v>221512354</v>
      </c>
      <c r="G305" s="634">
        <v>168098604</v>
      </c>
      <c r="H305" s="761">
        <f t="shared" si="117"/>
        <v>0.75886785077458929</v>
      </c>
      <c r="I305" s="762">
        <v>101088919</v>
      </c>
      <c r="J305" s="647">
        <f>G305+I305</f>
        <v>269187523</v>
      </c>
      <c r="K305" s="1123" t="s">
        <v>536</v>
      </c>
      <c r="L305" s="533">
        <f t="shared" si="107"/>
        <v>1.2152257792357712</v>
      </c>
    </row>
    <row r="306" spans="1:13" ht="15.75" thickBot="1">
      <c r="A306" s="1133"/>
      <c r="B306" s="3230" t="s">
        <v>343</v>
      </c>
      <c r="C306" s="3236"/>
      <c r="D306" s="1137"/>
      <c r="E306" s="573">
        <v>0</v>
      </c>
      <c r="F306" s="573">
        <v>0</v>
      </c>
      <c r="G306" s="573">
        <v>0</v>
      </c>
      <c r="H306" s="797"/>
      <c r="I306" s="1156"/>
      <c r="J306" s="1156"/>
      <c r="K306" s="798"/>
      <c r="L306" s="608"/>
    </row>
    <row r="307" spans="1:13" ht="15" hidden="1" customHeight="1" thickBot="1">
      <c r="A307" s="1133"/>
      <c r="B307" s="1157">
        <v>75814</v>
      </c>
      <c r="C307" s="1158" t="s">
        <v>537</v>
      </c>
      <c r="D307" s="1159"/>
      <c r="E307" s="911">
        <f t="shared" ref="E307:G307" si="131">SUM(E308,E310)</f>
        <v>0</v>
      </c>
      <c r="F307" s="911">
        <f t="shared" si="131"/>
        <v>0</v>
      </c>
      <c r="G307" s="911">
        <f t="shared" si="131"/>
        <v>0</v>
      </c>
      <c r="H307" s="912"/>
      <c r="I307" s="911">
        <f t="shared" ref="I307:J307" si="132">SUM(I308,I310)</f>
        <v>0</v>
      </c>
      <c r="J307" s="911">
        <f t="shared" si="132"/>
        <v>0</v>
      </c>
      <c r="K307" s="954"/>
      <c r="L307" s="772" t="e">
        <f t="shared" si="107"/>
        <v>#DIV/0!</v>
      </c>
      <c r="M307" s="838"/>
    </row>
    <row r="308" spans="1:13" ht="15.75" hidden="1" thickBot="1">
      <c r="A308" s="1133"/>
      <c r="B308" s="3243" t="s">
        <v>338</v>
      </c>
      <c r="C308" s="3243"/>
      <c r="D308" s="1100"/>
      <c r="E308" s="524">
        <f>SUM(E309)</f>
        <v>0</v>
      </c>
      <c r="F308" s="524">
        <f t="shared" ref="F308:J308" si="133">SUM(F309)</f>
        <v>0</v>
      </c>
      <c r="G308" s="524">
        <f t="shared" si="133"/>
        <v>0</v>
      </c>
      <c r="H308" s="800"/>
      <c r="I308" s="524">
        <f t="shared" si="133"/>
        <v>0</v>
      </c>
      <c r="J308" s="524">
        <f t="shared" si="133"/>
        <v>0</v>
      </c>
      <c r="K308" s="801"/>
      <c r="L308" s="563" t="e">
        <f t="shared" si="107"/>
        <v>#DIV/0!</v>
      </c>
    </row>
    <row r="309" spans="1:13" ht="15.75" hidden="1" thickBot="1">
      <c r="A309" s="1133"/>
      <c r="B309" s="1134"/>
      <c r="C309" s="1160" t="s">
        <v>538</v>
      </c>
      <c r="D309" s="1161" t="s">
        <v>357</v>
      </c>
      <c r="E309" s="535">
        <v>0</v>
      </c>
      <c r="F309" s="535">
        <v>0</v>
      </c>
      <c r="G309" s="535">
        <v>0</v>
      </c>
      <c r="H309" s="629"/>
      <c r="I309" s="535">
        <v>0</v>
      </c>
      <c r="J309" s="647">
        <f>G309+I309</f>
        <v>0</v>
      </c>
      <c r="K309" s="603"/>
      <c r="L309" s="563" t="e">
        <f t="shared" si="107"/>
        <v>#DIV/0!</v>
      </c>
    </row>
    <row r="310" spans="1:13" ht="15.75" hidden="1" thickBot="1">
      <c r="A310" s="1133"/>
      <c r="B310" s="3236" t="s">
        <v>343</v>
      </c>
      <c r="C310" s="3236"/>
      <c r="D310" s="1137"/>
      <c r="E310" s="605">
        <v>0</v>
      </c>
      <c r="F310" s="605">
        <v>0</v>
      </c>
      <c r="G310" s="605">
        <v>0</v>
      </c>
      <c r="H310" s="810"/>
      <c r="I310" s="605">
        <v>0</v>
      </c>
      <c r="J310" s="605">
        <v>0</v>
      </c>
      <c r="K310" s="607"/>
      <c r="L310" s="563" t="e">
        <f t="shared" si="107"/>
        <v>#DIV/0!</v>
      </c>
    </row>
    <row r="311" spans="1:13" ht="15.75" hidden="1" thickBot="1">
      <c r="A311" s="1133"/>
      <c r="B311" s="1162">
        <v>75816</v>
      </c>
      <c r="C311" s="1131" t="s">
        <v>539</v>
      </c>
      <c r="D311" s="1132"/>
      <c r="E311" s="1163">
        <f>SUM(E312,E313)</f>
        <v>0</v>
      </c>
      <c r="F311" s="1163">
        <f>SUM(F312,F313)</f>
        <v>0</v>
      </c>
      <c r="G311" s="1163">
        <f>SUM(G312,G313)</f>
        <v>0</v>
      </c>
      <c r="H311" s="781" t="e">
        <f t="shared" si="117"/>
        <v>#DIV/0!</v>
      </c>
      <c r="I311" s="1163">
        <f>SUM(I312,I313)</f>
        <v>0</v>
      </c>
      <c r="J311" s="1163">
        <f>SUM(J312,J313)</f>
        <v>0</v>
      </c>
      <c r="K311" s="617"/>
      <c r="L311" s="563" t="e">
        <f t="shared" si="107"/>
        <v>#DIV/0!</v>
      </c>
    </row>
    <row r="312" spans="1:13" ht="15.75" hidden="1" thickBot="1">
      <c r="A312" s="1133"/>
      <c r="B312" s="3243" t="s">
        <v>401</v>
      </c>
      <c r="C312" s="3243"/>
      <c r="D312" s="1100"/>
      <c r="E312" s="1164">
        <v>0</v>
      </c>
      <c r="F312" s="1164">
        <v>0</v>
      </c>
      <c r="G312" s="1164">
        <v>0</v>
      </c>
      <c r="H312" s="800" t="e">
        <f t="shared" si="117"/>
        <v>#DIV/0!</v>
      </c>
      <c r="I312" s="1164">
        <v>0</v>
      </c>
      <c r="J312" s="1164">
        <v>0</v>
      </c>
      <c r="K312" s="801"/>
      <c r="L312" s="563" t="e">
        <f t="shared" si="107"/>
        <v>#DIV/0!</v>
      </c>
    </row>
    <row r="313" spans="1:13" ht="15.75" hidden="1" thickBot="1">
      <c r="A313" s="1133"/>
      <c r="B313" s="3247" t="s">
        <v>382</v>
      </c>
      <c r="C313" s="3247"/>
      <c r="D313" s="1105"/>
      <c r="E313" s="710">
        <f>SUM(E314)</f>
        <v>0</v>
      </c>
      <c r="F313" s="710">
        <f t="shared" ref="F313:J313" si="134">SUM(F314)</f>
        <v>0</v>
      </c>
      <c r="G313" s="710">
        <f t="shared" si="134"/>
        <v>0</v>
      </c>
      <c r="H313" s="620" t="e">
        <f t="shared" si="117"/>
        <v>#DIV/0!</v>
      </c>
      <c r="I313" s="710">
        <f t="shared" si="134"/>
        <v>0</v>
      </c>
      <c r="J313" s="710">
        <f t="shared" si="134"/>
        <v>0</v>
      </c>
      <c r="K313" s="621"/>
      <c r="L313" s="563" t="e">
        <f t="shared" si="107"/>
        <v>#DIV/0!</v>
      </c>
    </row>
    <row r="314" spans="1:13" s="925" customFormat="1" ht="54.75" hidden="1" customHeight="1" thickBot="1">
      <c r="A314" s="1133"/>
      <c r="B314" s="1153"/>
      <c r="C314" s="1165" t="s">
        <v>540</v>
      </c>
      <c r="D314" s="1166" t="s">
        <v>541</v>
      </c>
      <c r="E314" s="1018">
        <v>0</v>
      </c>
      <c r="F314" s="1018">
        <v>0</v>
      </c>
      <c r="G314" s="1018">
        <v>0</v>
      </c>
      <c r="H314" s="761" t="e">
        <f t="shared" si="117"/>
        <v>#DIV/0!</v>
      </c>
      <c r="I314" s="1018">
        <v>0</v>
      </c>
      <c r="J314" s="1018">
        <v>0</v>
      </c>
      <c r="K314" s="636"/>
      <c r="L314" s="549" t="e">
        <f t="shared" si="107"/>
        <v>#DIV/0!</v>
      </c>
    </row>
    <row r="315" spans="1:13" s="925" customFormat="1" ht="15" customHeight="1" thickBot="1">
      <c r="A315" s="1133"/>
      <c r="B315" s="1162">
        <v>75819</v>
      </c>
      <c r="C315" s="1131" t="s">
        <v>542</v>
      </c>
      <c r="D315" s="1132"/>
      <c r="E315" s="656">
        <f t="shared" ref="E315:G315" si="135">SUM(E316,E318)</f>
        <v>0</v>
      </c>
      <c r="F315" s="656">
        <f t="shared" si="135"/>
        <v>20664835</v>
      </c>
      <c r="G315" s="656">
        <f t="shared" si="135"/>
        <v>0</v>
      </c>
      <c r="H315" s="781"/>
      <c r="I315" s="656">
        <f t="shared" ref="I315:J315" si="136">SUM(I316,I318)</f>
        <v>20841827</v>
      </c>
      <c r="J315" s="656">
        <f t="shared" si="136"/>
        <v>20841827</v>
      </c>
      <c r="K315" s="617"/>
      <c r="L315" s="553">
        <f t="shared" si="107"/>
        <v>1.0085648881300044</v>
      </c>
    </row>
    <row r="316" spans="1:13" s="925" customFormat="1" ht="15" customHeight="1">
      <c r="A316" s="1133"/>
      <c r="B316" s="3243" t="s">
        <v>338</v>
      </c>
      <c r="C316" s="3243"/>
      <c r="D316" s="1100"/>
      <c r="E316" s="524">
        <f>SUM(E317)</f>
        <v>0</v>
      </c>
      <c r="F316" s="524">
        <f t="shared" ref="F316:J316" si="137">SUM(F317)</f>
        <v>20664835</v>
      </c>
      <c r="G316" s="524">
        <f t="shared" si="137"/>
        <v>0</v>
      </c>
      <c r="H316" s="800"/>
      <c r="I316" s="524">
        <f t="shared" si="137"/>
        <v>20841827</v>
      </c>
      <c r="J316" s="524">
        <f t="shared" si="137"/>
        <v>20841827</v>
      </c>
      <c r="K316" s="801"/>
      <c r="L316" s="556">
        <f t="shared" si="107"/>
        <v>1.0085648881300044</v>
      </c>
    </row>
    <row r="317" spans="1:13" s="925" customFormat="1" ht="47.25" customHeight="1">
      <c r="A317" s="1133"/>
      <c r="B317" s="1134"/>
      <c r="C317" s="1167" t="s">
        <v>531</v>
      </c>
      <c r="D317" s="1161" t="s">
        <v>543</v>
      </c>
      <c r="E317" s="535">
        <v>0</v>
      </c>
      <c r="F317" s="535">
        <v>20664835</v>
      </c>
      <c r="G317" s="535">
        <v>0</v>
      </c>
      <c r="H317" s="629"/>
      <c r="I317" s="647">
        <v>20841827</v>
      </c>
      <c r="J317" s="647">
        <f>G317+I317</f>
        <v>20841827</v>
      </c>
      <c r="K317" s="1123" t="s">
        <v>544</v>
      </c>
      <c r="L317" s="533">
        <f t="shared" si="107"/>
        <v>1.0085648881300044</v>
      </c>
    </row>
    <row r="318" spans="1:13" s="925" customFormat="1" ht="15" customHeight="1" thickBot="1">
      <c r="A318" s="1168"/>
      <c r="B318" s="3236" t="s">
        <v>343</v>
      </c>
      <c r="C318" s="3236"/>
      <c r="D318" s="1137"/>
      <c r="E318" s="605">
        <v>0</v>
      </c>
      <c r="F318" s="605">
        <v>0</v>
      </c>
      <c r="G318" s="605">
        <v>0</v>
      </c>
      <c r="H318" s="810"/>
      <c r="I318" s="605">
        <v>0</v>
      </c>
      <c r="J318" s="605">
        <v>0</v>
      </c>
      <c r="K318" s="1169"/>
      <c r="L318" s="576"/>
    </row>
    <row r="319" spans="1:13" s="925" customFormat="1" ht="15" customHeight="1" thickBot="1">
      <c r="A319" s="1133"/>
      <c r="B319" s="1170">
        <v>75833</v>
      </c>
      <c r="C319" s="1158" t="s">
        <v>545</v>
      </c>
      <c r="D319" s="1159"/>
      <c r="E319" s="1120">
        <f t="shared" ref="E319:G319" si="138">SUM(E320,E322)</f>
        <v>76075817</v>
      </c>
      <c r="F319" s="1120">
        <f t="shared" si="138"/>
        <v>76075817</v>
      </c>
      <c r="G319" s="1120">
        <f t="shared" si="138"/>
        <v>76075817</v>
      </c>
      <c r="H319" s="1034">
        <f t="shared" si="117"/>
        <v>1</v>
      </c>
      <c r="I319" s="1120">
        <f t="shared" ref="I319:J319" si="139">SUM(I320,I322)</f>
        <v>29330234</v>
      </c>
      <c r="J319" s="1120">
        <f t="shared" si="139"/>
        <v>105406051</v>
      </c>
      <c r="K319" s="738"/>
      <c r="L319" s="553">
        <f t="shared" si="107"/>
        <v>1.3855395203971324</v>
      </c>
    </row>
    <row r="320" spans="1:13" s="925" customFormat="1" ht="15" customHeight="1">
      <c r="A320" s="1133"/>
      <c r="B320" s="3243" t="s">
        <v>338</v>
      </c>
      <c r="C320" s="3296"/>
      <c r="D320" s="1171"/>
      <c r="E320" s="524">
        <f>SUM(E321)</f>
        <v>76075817</v>
      </c>
      <c r="F320" s="524">
        <f t="shared" ref="F320:J320" si="140">SUM(F321)</f>
        <v>76075817</v>
      </c>
      <c r="G320" s="524">
        <f t="shared" si="140"/>
        <v>76075817</v>
      </c>
      <c r="H320" s="800">
        <f t="shared" si="117"/>
        <v>1</v>
      </c>
      <c r="I320" s="524">
        <f t="shared" si="140"/>
        <v>29330234</v>
      </c>
      <c r="J320" s="524">
        <f t="shared" si="140"/>
        <v>105406051</v>
      </c>
      <c r="K320" s="801"/>
      <c r="L320" s="556">
        <f t="shared" si="107"/>
        <v>1.3855395203971324</v>
      </c>
    </row>
    <row r="321" spans="1:30" ht="21" customHeight="1">
      <c r="A321" s="1133"/>
      <c r="B321" s="1134"/>
      <c r="C321" s="1172" t="s">
        <v>528</v>
      </c>
      <c r="D321" s="1161" t="s">
        <v>546</v>
      </c>
      <c r="E321" s="535">
        <v>76075817</v>
      </c>
      <c r="F321" s="535">
        <v>76075817</v>
      </c>
      <c r="G321" s="535">
        <v>76075817</v>
      </c>
      <c r="H321" s="629">
        <f t="shared" si="117"/>
        <v>1</v>
      </c>
      <c r="I321" s="647">
        <v>29330234</v>
      </c>
      <c r="J321" s="647">
        <f>G321+I321</f>
        <v>105406051</v>
      </c>
      <c r="K321" s="1123" t="s">
        <v>547</v>
      </c>
      <c r="L321" s="533">
        <f t="shared" si="107"/>
        <v>1.3855395203971324</v>
      </c>
    </row>
    <row r="322" spans="1:30" ht="15" customHeight="1" thickBot="1">
      <c r="A322" s="1133"/>
      <c r="B322" s="3236" t="s">
        <v>343</v>
      </c>
      <c r="C322" s="3327"/>
      <c r="D322" s="1173"/>
      <c r="E322" s="605">
        <v>0</v>
      </c>
      <c r="F322" s="605">
        <v>0</v>
      </c>
      <c r="G322" s="605">
        <v>0</v>
      </c>
      <c r="H322" s="810"/>
      <c r="I322" s="605">
        <v>0</v>
      </c>
      <c r="J322" s="605">
        <v>0</v>
      </c>
      <c r="K322" s="607"/>
      <c r="L322" s="576"/>
    </row>
    <row r="323" spans="1:30" ht="39" thickBot="1">
      <c r="A323" s="1174"/>
      <c r="B323" s="1175">
        <v>75863</v>
      </c>
      <c r="C323" s="1176" t="s">
        <v>548</v>
      </c>
      <c r="D323" s="1177"/>
      <c r="E323" s="911">
        <f>SUM(E324,E330)</f>
        <v>263621341</v>
      </c>
      <c r="F323" s="911">
        <f>SUM(F324,F330)</f>
        <v>295667821</v>
      </c>
      <c r="G323" s="911">
        <f>SUM(G324,G330)</f>
        <v>164959016</v>
      </c>
      <c r="H323" s="912">
        <f t="shared" si="117"/>
        <v>0.62574226871867711</v>
      </c>
      <c r="I323" s="911">
        <f>SUM(I324,I330)</f>
        <v>10344711</v>
      </c>
      <c r="J323" s="911">
        <f>SUM(J324,J330)</f>
        <v>175303727</v>
      </c>
      <c r="K323" s="658"/>
      <c r="L323" s="553">
        <f t="shared" si="107"/>
        <v>0.59290769758809836</v>
      </c>
    </row>
    <row r="324" spans="1:30" s="925" customFormat="1" ht="15" customHeight="1">
      <c r="A324" s="1174"/>
      <c r="B324" s="3280" t="s">
        <v>338</v>
      </c>
      <c r="C324" s="3281"/>
      <c r="D324" s="1178"/>
      <c r="E324" s="555">
        <f>SUM(E325:E329)</f>
        <v>59128591</v>
      </c>
      <c r="F324" s="555">
        <f>SUM(F325:F329)</f>
        <v>59574614</v>
      </c>
      <c r="G324" s="555">
        <f>SUM(G325:G329)</f>
        <v>30164389</v>
      </c>
      <c r="H324" s="741">
        <f t="shared" si="117"/>
        <v>0.51014895653441161</v>
      </c>
      <c r="I324" s="555">
        <f>SUM(I325:I329)</f>
        <v>3100275</v>
      </c>
      <c r="J324" s="555">
        <f>SUM(J325:J329)</f>
        <v>33264664</v>
      </c>
      <c r="K324" s="526"/>
      <c r="L324" s="556">
        <f t="shared" si="107"/>
        <v>0.55836977810716493</v>
      </c>
    </row>
    <row r="325" spans="1:30" ht="51">
      <c r="A325" s="1174"/>
      <c r="B325" s="1179"/>
      <c r="C325" s="1180" t="s">
        <v>549</v>
      </c>
      <c r="D325" s="3269">
        <v>2007</v>
      </c>
      <c r="E325" s="625">
        <v>41876703</v>
      </c>
      <c r="F325" s="625">
        <v>41851814</v>
      </c>
      <c r="G325" s="1065">
        <v>14527346</v>
      </c>
      <c r="H325" s="746">
        <f t="shared" si="117"/>
        <v>0.34690758725680959</v>
      </c>
      <c r="I325" s="747">
        <v>3100275</v>
      </c>
      <c r="J325" s="647">
        <f>G325+I325</f>
        <v>17627621</v>
      </c>
      <c r="K325" s="995"/>
      <c r="L325" s="533">
        <f t="shared" si="107"/>
        <v>0.4211913251836587</v>
      </c>
    </row>
    <row r="326" spans="1:30" ht="50.25" hidden="1" customHeight="1" thickBot="1">
      <c r="A326" s="1181"/>
      <c r="B326" s="1182"/>
      <c r="C326" s="1183" t="s">
        <v>550</v>
      </c>
      <c r="D326" s="3271"/>
      <c r="E326" s="586">
        <v>0</v>
      </c>
      <c r="F326" s="586">
        <v>0</v>
      </c>
      <c r="G326" s="1184"/>
      <c r="H326" s="746" t="e">
        <f t="shared" si="117"/>
        <v>#DIV/0!</v>
      </c>
      <c r="I326" s="747"/>
      <c r="J326" s="747"/>
      <c r="K326" s="995"/>
      <c r="L326" s="533" t="e">
        <f t="shared" si="107"/>
        <v>#DIV/0!</v>
      </c>
    </row>
    <row r="327" spans="1:30" ht="54.75" hidden="1" customHeight="1">
      <c r="A327" s="1185"/>
      <c r="B327" s="1186"/>
      <c r="C327" s="1187" t="s">
        <v>551</v>
      </c>
      <c r="D327" s="1188">
        <v>2009</v>
      </c>
      <c r="E327" s="1189">
        <v>0</v>
      </c>
      <c r="F327" s="1189">
        <v>0</v>
      </c>
      <c r="G327" s="1190"/>
      <c r="H327" s="746" t="e">
        <f t="shared" si="117"/>
        <v>#DIV/0!</v>
      </c>
      <c r="I327" s="747"/>
      <c r="J327" s="747"/>
      <c r="K327" s="995"/>
      <c r="L327" s="533" t="e">
        <f t="shared" si="107"/>
        <v>#DIV/0!</v>
      </c>
    </row>
    <row r="328" spans="1:30" ht="51">
      <c r="A328" s="1174"/>
      <c r="B328" s="1191"/>
      <c r="C328" s="1192" t="s">
        <v>549</v>
      </c>
      <c r="D328" s="3269">
        <v>2057</v>
      </c>
      <c r="E328" s="535">
        <v>17251888</v>
      </c>
      <c r="F328" s="535">
        <v>17722800</v>
      </c>
      <c r="G328" s="529">
        <v>15637043</v>
      </c>
      <c r="H328" s="746">
        <f t="shared" si="117"/>
        <v>0.90639604198682489</v>
      </c>
      <c r="I328" s="747">
        <v>0</v>
      </c>
      <c r="J328" s="647">
        <f>G328+I328</f>
        <v>15637043</v>
      </c>
      <c r="K328" s="995"/>
      <c r="L328" s="533">
        <f t="shared" si="107"/>
        <v>0.88231221928814862</v>
      </c>
    </row>
    <row r="329" spans="1:30" ht="50.25" hidden="1" customHeight="1">
      <c r="A329" s="1181"/>
      <c r="B329" s="1182"/>
      <c r="C329" s="1183" t="s">
        <v>550</v>
      </c>
      <c r="D329" s="3272"/>
      <c r="E329" s="698">
        <v>0</v>
      </c>
      <c r="F329" s="698">
        <v>0</v>
      </c>
      <c r="G329" s="1085">
        <v>0</v>
      </c>
      <c r="H329" s="1026" t="e">
        <f t="shared" si="117"/>
        <v>#DIV/0!</v>
      </c>
      <c r="I329" s="866"/>
      <c r="J329" s="866"/>
      <c r="K329" s="995"/>
      <c r="L329" s="563" t="e">
        <f t="shared" si="107"/>
        <v>#DIV/0!</v>
      </c>
    </row>
    <row r="330" spans="1:30" ht="15" customHeight="1">
      <c r="A330" s="1174"/>
      <c r="B330" s="3273" t="s">
        <v>382</v>
      </c>
      <c r="C330" s="3274"/>
      <c r="D330" s="1193"/>
      <c r="E330" s="660">
        <f>SUM(E331:E336)</f>
        <v>204492750</v>
      </c>
      <c r="F330" s="660">
        <f>SUM(F331:F336)</f>
        <v>236093207</v>
      </c>
      <c r="G330" s="660">
        <f>SUM(G331:G336)</f>
        <v>134794627</v>
      </c>
      <c r="H330" s="921">
        <f>G330/E330</f>
        <v>0.65916579927650243</v>
      </c>
      <c r="I330" s="660">
        <f>SUM(I331:I336)</f>
        <v>7244436</v>
      </c>
      <c r="J330" s="660">
        <f>SUM(J331:J336)</f>
        <v>142039063</v>
      </c>
      <c r="K330" s="540"/>
      <c r="L330" s="693">
        <f t="shared" si="107"/>
        <v>0.60162282856363591</v>
      </c>
    </row>
    <row r="331" spans="1:30" ht="51">
      <c r="A331" s="1174"/>
      <c r="B331" s="1179"/>
      <c r="C331" s="1194" t="s">
        <v>549</v>
      </c>
      <c r="D331" s="1195">
        <v>6207</v>
      </c>
      <c r="E331" s="634">
        <v>3301439</v>
      </c>
      <c r="F331" s="634">
        <v>16943300</v>
      </c>
      <c r="G331" s="1083">
        <v>20388</v>
      </c>
      <c r="H331" s="761">
        <f t="shared" si="117"/>
        <v>6.1754889307359612E-3</v>
      </c>
      <c r="I331" s="762">
        <v>186099</v>
      </c>
      <c r="J331" s="647">
        <f>G331+I331</f>
        <v>206487</v>
      </c>
      <c r="K331" s="1196"/>
      <c r="L331" s="533">
        <f t="shared" ref="L331:L394" si="141">J331/F331</f>
        <v>1.2186941150779364E-2</v>
      </c>
      <c r="M331" s="550"/>
      <c r="N331" s="550"/>
      <c r="O331" s="550"/>
      <c r="P331" s="550"/>
      <c r="Q331" s="550"/>
      <c r="R331" s="550"/>
      <c r="S331" s="550"/>
      <c r="T331" s="550"/>
      <c r="U331" s="550"/>
      <c r="V331" s="550"/>
      <c r="W331" s="550"/>
      <c r="X331" s="550"/>
      <c r="Y331" s="550"/>
      <c r="Z331" s="550"/>
      <c r="AA331" s="550"/>
      <c r="AB331" s="550"/>
      <c r="AC331" s="550"/>
      <c r="AD331" s="550"/>
    </row>
    <row r="332" spans="1:30" s="925" customFormat="1" ht="51.75" thickBot="1">
      <c r="A332" s="1174"/>
      <c r="B332" s="1197"/>
      <c r="C332" s="1198" t="s">
        <v>552</v>
      </c>
      <c r="D332" s="1195">
        <v>6209</v>
      </c>
      <c r="E332" s="535">
        <v>17905000</v>
      </c>
      <c r="F332" s="535">
        <v>22018000</v>
      </c>
      <c r="G332" s="529">
        <v>9360112</v>
      </c>
      <c r="H332" s="629">
        <f t="shared" si="117"/>
        <v>0.52276526110025134</v>
      </c>
      <c r="I332" s="647">
        <v>0</v>
      </c>
      <c r="J332" s="647">
        <f>G332+I332</f>
        <v>9360112</v>
      </c>
      <c r="K332" s="701"/>
      <c r="L332" s="770">
        <f t="shared" si="141"/>
        <v>0.42511181760377875</v>
      </c>
      <c r="M332" s="550"/>
      <c r="N332" s="550"/>
      <c r="O332" s="550"/>
      <c r="P332" s="550"/>
      <c r="Q332" s="550"/>
      <c r="R332" s="550"/>
      <c r="S332" s="550"/>
      <c r="T332" s="550"/>
      <c r="U332" s="550"/>
      <c r="V332" s="550"/>
      <c r="W332" s="550"/>
      <c r="X332" s="550"/>
      <c r="Y332" s="550"/>
      <c r="Z332" s="550"/>
      <c r="AA332" s="550"/>
      <c r="AB332" s="550"/>
      <c r="AC332" s="550"/>
      <c r="AD332" s="550"/>
    </row>
    <row r="333" spans="1:30" s="925" customFormat="1" ht="42.75" customHeight="1" thickBot="1">
      <c r="A333" s="1174"/>
      <c r="B333" s="1197"/>
      <c r="C333" s="1199" t="s">
        <v>549</v>
      </c>
      <c r="D333" s="3270">
        <v>6257</v>
      </c>
      <c r="E333" s="625">
        <v>181807311</v>
      </c>
      <c r="F333" s="625">
        <v>195652907</v>
      </c>
      <c r="G333" s="1065">
        <v>125414127</v>
      </c>
      <c r="H333" s="746">
        <f t="shared" si="117"/>
        <v>0.68981894242965835</v>
      </c>
      <c r="I333" s="747">
        <v>7058337</v>
      </c>
      <c r="J333" s="747">
        <f>G333+I333</f>
        <v>132472464</v>
      </c>
      <c r="K333" s="995"/>
      <c r="L333" s="758">
        <f t="shared" si="141"/>
        <v>0.67707894572708804</v>
      </c>
      <c r="M333" s="550"/>
      <c r="N333" s="550"/>
      <c r="O333" s="550"/>
      <c r="P333" s="550"/>
      <c r="Q333" s="550"/>
      <c r="R333" s="550"/>
      <c r="S333" s="550"/>
      <c r="T333" s="550"/>
      <c r="U333" s="550"/>
      <c r="V333" s="550"/>
      <c r="W333" s="550"/>
      <c r="X333" s="550"/>
      <c r="Y333" s="550"/>
      <c r="Z333" s="550"/>
      <c r="AA333" s="550"/>
      <c r="AB333" s="550"/>
      <c r="AC333" s="550"/>
      <c r="AD333" s="550"/>
    </row>
    <row r="334" spans="1:30" s="925" customFormat="1" ht="54.75" hidden="1" customHeight="1" thickBot="1">
      <c r="A334" s="1174"/>
      <c r="B334" s="1182"/>
      <c r="C334" s="386" t="s">
        <v>550</v>
      </c>
      <c r="D334" s="3271"/>
      <c r="E334" s="698">
        <v>1479000</v>
      </c>
      <c r="F334" s="698">
        <v>1479000</v>
      </c>
      <c r="G334" s="1085">
        <v>0</v>
      </c>
      <c r="H334" s="767">
        <f t="shared" si="117"/>
        <v>0</v>
      </c>
      <c r="I334" s="768">
        <v>0</v>
      </c>
      <c r="J334" s="647">
        <f>G334+I334</f>
        <v>0</v>
      </c>
      <c r="K334" s="701"/>
      <c r="L334" s="533">
        <f t="shared" si="141"/>
        <v>0</v>
      </c>
      <c r="M334" s="550"/>
      <c r="N334" s="550"/>
      <c r="O334" s="550"/>
      <c r="P334" s="550"/>
      <c r="Q334" s="550"/>
      <c r="R334" s="550"/>
      <c r="S334" s="550"/>
      <c r="T334" s="550"/>
      <c r="U334" s="550"/>
      <c r="V334" s="550"/>
      <c r="W334" s="550"/>
      <c r="X334" s="550"/>
      <c r="Y334" s="550"/>
      <c r="Z334" s="550"/>
      <c r="AA334" s="550"/>
      <c r="AB334" s="550"/>
      <c r="AC334" s="550"/>
      <c r="AD334" s="550"/>
    </row>
    <row r="335" spans="1:30" ht="51.75" hidden="1" customHeight="1">
      <c r="A335" s="1174"/>
      <c r="B335" s="1197"/>
      <c r="C335" s="1199" t="s">
        <v>553</v>
      </c>
      <c r="D335" s="3270">
        <v>6259</v>
      </c>
      <c r="E335" s="560">
        <v>0</v>
      </c>
      <c r="F335" s="560">
        <v>0</v>
      </c>
      <c r="G335" s="1200">
        <v>0</v>
      </c>
      <c r="H335" s="746" t="e">
        <f t="shared" si="117"/>
        <v>#DIV/0!</v>
      </c>
      <c r="I335" s="747"/>
      <c r="J335" s="747"/>
      <c r="K335" s="995"/>
      <c r="L335" s="563" t="e">
        <f t="shared" si="141"/>
        <v>#DIV/0!</v>
      </c>
      <c r="M335" s="550"/>
      <c r="N335" s="550"/>
      <c r="O335" s="550"/>
      <c r="P335" s="550"/>
      <c r="Q335" s="550"/>
      <c r="R335" s="550"/>
      <c r="S335" s="550"/>
      <c r="T335" s="550"/>
      <c r="U335" s="550"/>
      <c r="V335" s="550"/>
      <c r="W335" s="550"/>
      <c r="X335" s="550"/>
      <c r="Y335" s="550"/>
      <c r="Z335" s="550"/>
      <c r="AA335" s="550"/>
      <c r="AB335" s="550"/>
      <c r="AC335" s="550"/>
      <c r="AD335" s="550"/>
    </row>
    <row r="336" spans="1:30" ht="62.25" hidden="1" customHeight="1" thickBot="1">
      <c r="A336" s="1174"/>
      <c r="B336" s="1182"/>
      <c r="C336" s="386" t="s">
        <v>554</v>
      </c>
      <c r="D336" s="3271"/>
      <c r="E336" s="698">
        <v>0</v>
      </c>
      <c r="F336" s="698">
        <v>0</v>
      </c>
      <c r="G336" s="1085">
        <v>0</v>
      </c>
      <c r="H336" s="767" t="e">
        <f t="shared" si="117"/>
        <v>#DIV/0!</v>
      </c>
      <c r="I336" s="768"/>
      <c r="J336" s="768"/>
      <c r="K336" s="701"/>
      <c r="L336" s="549" t="e">
        <f t="shared" si="141"/>
        <v>#DIV/0!</v>
      </c>
    </row>
    <row r="337" spans="1:85" ht="28.5" customHeight="1" thickBot="1">
      <c r="A337" s="1174"/>
      <c r="B337" s="1201">
        <v>75864</v>
      </c>
      <c r="C337" s="1202" t="s">
        <v>555</v>
      </c>
      <c r="D337" s="1203"/>
      <c r="E337" s="1204">
        <f t="shared" ref="E337:G337" si="142">SUM(E338,E344)</f>
        <v>108504818</v>
      </c>
      <c r="F337" s="656">
        <f t="shared" si="142"/>
        <v>89661767</v>
      </c>
      <c r="G337" s="656">
        <f t="shared" si="142"/>
        <v>93144600</v>
      </c>
      <c r="H337" s="781">
        <f t="shared" si="117"/>
        <v>0.85843745666667082</v>
      </c>
      <c r="I337" s="656">
        <f t="shared" ref="I337:J337" si="143">SUM(I338,I344)</f>
        <v>2189600</v>
      </c>
      <c r="J337" s="656">
        <f t="shared" si="143"/>
        <v>95334200</v>
      </c>
      <c r="K337" s="658"/>
      <c r="L337" s="553">
        <f t="shared" si="141"/>
        <v>1.0632647915582569</v>
      </c>
    </row>
    <row r="338" spans="1:85" s="925" customFormat="1" ht="15" customHeight="1">
      <c r="A338" s="1174"/>
      <c r="B338" s="3280" t="s">
        <v>338</v>
      </c>
      <c r="C338" s="3281"/>
      <c r="D338" s="1205"/>
      <c r="E338" s="555">
        <f>SUM(E339:E343)</f>
        <v>77575818</v>
      </c>
      <c r="F338" s="555">
        <f t="shared" ref="F338:G338" si="144">SUM(F339:F343)</f>
        <v>77267954</v>
      </c>
      <c r="G338" s="555">
        <f t="shared" si="144"/>
        <v>74644270</v>
      </c>
      <c r="H338" s="741">
        <f t="shared" si="117"/>
        <v>0.9622105434969439</v>
      </c>
      <c r="I338" s="555">
        <f t="shared" ref="I338:J338" si="145">SUM(I339:I343)</f>
        <v>2189600</v>
      </c>
      <c r="J338" s="555">
        <f t="shared" si="145"/>
        <v>76833870</v>
      </c>
      <c r="K338" s="526"/>
      <c r="L338" s="556">
        <f t="shared" si="141"/>
        <v>0.9943820953250555</v>
      </c>
    </row>
    <row r="339" spans="1:85" s="925" customFormat="1" ht="51.75" hidden="1" customHeight="1">
      <c r="A339" s="1174"/>
      <c r="B339" s="3325"/>
      <c r="C339" s="1206" t="s">
        <v>549</v>
      </c>
      <c r="D339" s="1207">
        <v>2007</v>
      </c>
      <c r="E339" s="535">
        <v>0</v>
      </c>
      <c r="F339" s="535">
        <v>0</v>
      </c>
      <c r="G339" s="535">
        <v>0</v>
      </c>
      <c r="H339" s="629" t="e">
        <f t="shared" si="117"/>
        <v>#DIV/0!</v>
      </c>
      <c r="I339" s="647"/>
      <c r="J339" s="647"/>
      <c r="K339" s="532"/>
      <c r="L339" s="563" t="e">
        <f t="shared" si="141"/>
        <v>#DIV/0!</v>
      </c>
    </row>
    <row r="340" spans="1:85" s="925" customFormat="1" ht="51">
      <c r="A340" s="1174"/>
      <c r="B340" s="3282"/>
      <c r="C340" s="1208" t="s">
        <v>551</v>
      </c>
      <c r="D340" s="1195">
        <v>2009</v>
      </c>
      <c r="E340" s="560">
        <v>27935781</v>
      </c>
      <c r="F340" s="560">
        <v>25606277</v>
      </c>
      <c r="G340" s="1200">
        <v>21399700</v>
      </c>
      <c r="H340" s="754">
        <f t="shared" si="117"/>
        <v>0.76603192157040467</v>
      </c>
      <c r="I340" s="647">
        <v>-209300</v>
      </c>
      <c r="J340" s="647">
        <f>G340+I340</f>
        <v>21190400</v>
      </c>
      <c r="K340" s="1015"/>
      <c r="L340" s="533">
        <f t="shared" si="141"/>
        <v>0.82754708933282262</v>
      </c>
      <c r="M340" s="550"/>
      <c r="N340" s="550"/>
      <c r="O340" s="550"/>
      <c r="P340" s="550"/>
      <c r="Q340" s="550"/>
      <c r="R340" s="550"/>
      <c r="S340" s="550"/>
      <c r="T340" s="550"/>
      <c r="U340" s="550"/>
      <c r="V340" s="550"/>
      <c r="W340" s="550"/>
      <c r="X340" s="550"/>
      <c r="Y340" s="550"/>
      <c r="Z340" s="550"/>
      <c r="AA340" s="550"/>
      <c r="AB340" s="550"/>
      <c r="AC340" s="550"/>
      <c r="AD340" s="550"/>
      <c r="AE340" s="550"/>
      <c r="AF340" s="550"/>
      <c r="AG340" s="550"/>
      <c r="AH340" s="550"/>
      <c r="AI340" s="550"/>
      <c r="AJ340" s="550"/>
      <c r="AK340" s="550"/>
      <c r="AL340" s="550"/>
      <c r="AM340" s="550"/>
      <c r="AN340" s="550"/>
      <c r="AO340" s="550"/>
      <c r="AP340" s="550"/>
      <c r="AQ340" s="550"/>
      <c r="AR340" s="550"/>
      <c r="AS340" s="550"/>
      <c r="AT340" s="550"/>
      <c r="AU340" s="550"/>
      <c r="AV340" s="550"/>
      <c r="AW340" s="550"/>
      <c r="AX340" s="550"/>
      <c r="AY340" s="550"/>
      <c r="AZ340" s="550"/>
      <c r="BA340" s="550"/>
      <c r="BB340" s="550"/>
      <c r="BC340" s="550"/>
      <c r="BD340" s="550"/>
      <c r="BE340" s="550"/>
      <c r="BF340" s="550"/>
      <c r="BG340" s="550"/>
      <c r="BH340" s="550"/>
      <c r="BI340" s="550"/>
      <c r="BJ340" s="550"/>
      <c r="BK340" s="550"/>
      <c r="BL340" s="550"/>
      <c r="BM340" s="550"/>
      <c r="BN340" s="550"/>
      <c r="BO340" s="550"/>
      <c r="BP340" s="550"/>
      <c r="BQ340" s="550"/>
      <c r="BR340" s="550"/>
      <c r="BS340" s="550"/>
      <c r="BT340" s="550"/>
      <c r="BU340" s="550"/>
      <c r="BV340" s="550"/>
      <c r="BW340" s="550"/>
      <c r="BX340" s="550"/>
      <c r="BY340" s="550"/>
      <c r="BZ340" s="550"/>
      <c r="CA340" s="550"/>
      <c r="CB340" s="550"/>
      <c r="CC340" s="550"/>
      <c r="CD340" s="550"/>
      <c r="CE340" s="550"/>
      <c r="CF340" s="550"/>
      <c r="CG340" s="550"/>
    </row>
    <row r="341" spans="1:85" s="925" customFormat="1" ht="42" customHeight="1">
      <c r="A341" s="1174"/>
      <c r="B341" s="3282"/>
      <c r="C341" s="1198" t="s">
        <v>549</v>
      </c>
      <c r="D341" s="1209">
        <v>2057</v>
      </c>
      <c r="E341" s="535">
        <v>2878409</v>
      </c>
      <c r="F341" s="535">
        <v>4684829</v>
      </c>
      <c r="G341" s="529">
        <v>2801600</v>
      </c>
      <c r="H341" s="629">
        <f t="shared" si="117"/>
        <v>0.97331546698193339</v>
      </c>
      <c r="I341" s="747">
        <f>1368500+821100</f>
        <v>2189600</v>
      </c>
      <c r="J341" s="647">
        <f>G341+I341</f>
        <v>4991200</v>
      </c>
      <c r="K341" s="532"/>
      <c r="L341" s="533">
        <f t="shared" si="141"/>
        <v>1.0653964104132723</v>
      </c>
      <c r="M341" s="550"/>
      <c r="N341" s="550"/>
      <c r="O341" s="550"/>
      <c r="P341" s="550"/>
      <c r="Q341" s="550"/>
      <c r="R341" s="550"/>
      <c r="S341" s="550"/>
      <c r="T341" s="550"/>
      <c r="U341" s="550"/>
      <c r="V341" s="550"/>
      <c r="W341" s="550"/>
      <c r="X341" s="550"/>
      <c r="Y341" s="550"/>
      <c r="Z341" s="550"/>
      <c r="AA341" s="550"/>
      <c r="AB341" s="550"/>
      <c r="AC341" s="550"/>
      <c r="AD341" s="550"/>
      <c r="AE341" s="550"/>
      <c r="AF341" s="550"/>
      <c r="AG341" s="550"/>
      <c r="AH341" s="550"/>
      <c r="AI341" s="550"/>
      <c r="AJ341" s="550"/>
      <c r="AK341" s="550"/>
      <c r="AL341" s="550"/>
      <c r="AM341" s="550"/>
      <c r="AN341" s="550"/>
      <c r="AO341" s="550"/>
      <c r="AP341" s="550"/>
      <c r="AQ341" s="550"/>
      <c r="AR341" s="550"/>
      <c r="AS341" s="550"/>
      <c r="AT341" s="550"/>
      <c r="AU341" s="550"/>
      <c r="AV341" s="550"/>
      <c r="AW341" s="550"/>
      <c r="AX341" s="550"/>
      <c r="AY341" s="550"/>
      <c r="AZ341" s="550"/>
      <c r="BA341" s="550"/>
      <c r="BB341" s="550"/>
      <c r="BC341" s="550"/>
      <c r="BD341" s="550"/>
      <c r="BE341" s="550"/>
      <c r="BF341" s="550"/>
      <c r="BG341" s="550"/>
      <c r="BH341" s="550"/>
      <c r="BI341" s="550"/>
      <c r="BJ341" s="550"/>
      <c r="BK341" s="550"/>
      <c r="BL341" s="550"/>
      <c r="BM341" s="550"/>
      <c r="BN341" s="550"/>
      <c r="BO341" s="550"/>
      <c r="BP341" s="550"/>
      <c r="BQ341" s="550"/>
      <c r="BR341" s="550"/>
      <c r="BS341" s="550"/>
      <c r="BT341" s="550"/>
      <c r="BU341" s="550"/>
      <c r="BV341" s="550"/>
      <c r="BW341" s="550"/>
      <c r="BX341" s="550"/>
      <c r="BY341" s="550"/>
      <c r="BZ341" s="550"/>
      <c r="CA341" s="550"/>
      <c r="CB341" s="550"/>
      <c r="CC341" s="550"/>
      <c r="CD341" s="550"/>
      <c r="CE341" s="550"/>
      <c r="CF341" s="550"/>
      <c r="CG341" s="550"/>
    </row>
    <row r="342" spans="1:85" s="1212" customFormat="1" ht="39.75" customHeight="1">
      <c r="A342" s="1174"/>
      <c r="B342" s="3282"/>
      <c r="C342" s="1210" t="s">
        <v>556</v>
      </c>
      <c r="D342" s="1211">
        <v>2058</v>
      </c>
      <c r="E342" s="560">
        <v>46552409</v>
      </c>
      <c r="F342" s="560">
        <v>46603409</v>
      </c>
      <c r="G342" s="1200">
        <v>50233670</v>
      </c>
      <c r="H342" s="754">
        <f t="shared" si="117"/>
        <v>1.0790777766194657</v>
      </c>
      <c r="I342" s="755">
        <v>0</v>
      </c>
      <c r="J342" s="647">
        <f>G342+I342</f>
        <v>50233670</v>
      </c>
      <c r="K342" s="1015"/>
      <c r="L342" s="533">
        <f t="shared" si="141"/>
        <v>1.0778968980573931</v>
      </c>
      <c r="M342" s="550"/>
      <c r="N342" s="550"/>
      <c r="O342" s="550"/>
      <c r="P342" s="550"/>
      <c r="Q342" s="550"/>
      <c r="R342" s="550"/>
      <c r="S342" s="550"/>
      <c r="T342" s="550"/>
      <c r="U342" s="550"/>
      <c r="V342" s="550"/>
      <c r="W342" s="550"/>
      <c r="X342" s="550"/>
      <c r="Y342" s="550"/>
      <c r="Z342" s="550"/>
      <c r="AA342" s="550"/>
      <c r="AB342" s="550"/>
      <c r="AC342" s="550"/>
      <c r="AD342" s="550"/>
      <c r="AE342" s="550"/>
      <c r="AF342" s="550"/>
      <c r="AG342" s="550"/>
      <c r="AH342" s="550"/>
      <c r="AI342" s="550"/>
      <c r="AJ342" s="550"/>
      <c r="AK342" s="550"/>
      <c r="AL342" s="550"/>
      <c r="AM342" s="550"/>
      <c r="AN342" s="550"/>
      <c r="AO342" s="550"/>
      <c r="AP342" s="550"/>
      <c r="AQ342" s="550"/>
      <c r="AR342" s="550"/>
      <c r="AS342" s="550"/>
      <c r="AT342" s="550"/>
      <c r="AU342" s="550"/>
      <c r="AV342" s="550"/>
      <c r="AW342" s="550"/>
      <c r="AX342" s="550"/>
      <c r="AY342" s="550"/>
      <c r="AZ342" s="550"/>
      <c r="BA342" s="550"/>
      <c r="BB342" s="550"/>
      <c r="BC342" s="550"/>
      <c r="BD342" s="550"/>
      <c r="BE342" s="550"/>
      <c r="BF342" s="550"/>
      <c r="BG342" s="550"/>
      <c r="BH342" s="550"/>
      <c r="BI342" s="550"/>
      <c r="BJ342" s="550"/>
      <c r="BK342" s="550"/>
      <c r="BL342" s="550"/>
      <c r="BM342" s="550"/>
      <c r="BN342" s="550"/>
      <c r="BO342" s="550"/>
      <c r="BP342" s="550"/>
      <c r="BQ342" s="550"/>
      <c r="BR342" s="550"/>
      <c r="BS342" s="550"/>
      <c r="BT342" s="550"/>
      <c r="BU342" s="550"/>
      <c r="BV342" s="550"/>
      <c r="BW342" s="550"/>
      <c r="BX342" s="550"/>
      <c r="BY342" s="550"/>
      <c r="BZ342" s="550"/>
      <c r="CA342" s="550"/>
      <c r="CB342" s="550"/>
      <c r="CC342" s="550"/>
      <c r="CD342" s="550"/>
      <c r="CE342" s="550"/>
      <c r="CF342" s="550"/>
      <c r="CG342" s="550"/>
    </row>
    <row r="343" spans="1:85" s="1214" customFormat="1" ht="39" customHeight="1">
      <c r="A343" s="1174"/>
      <c r="B343" s="3326"/>
      <c r="C343" s="1213" t="s">
        <v>557</v>
      </c>
      <c r="D343" s="1195">
        <v>2059</v>
      </c>
      <c r="E343" s="535">
        <v>209219</v>
      </c>
      <c r="F343" s="535">
        <v>373439</v>
      </c>
      <c r="G343" s="529">
        <v>209300</v>
      </c>
      <c r="H343" s="629">
        <f t="shared" si="117"/>
        <v>1.0003871541303611</v>
      </c>
      <c r="I343" s="647">
        <f>161000+48300</f>
        <v>209300</v>
      </c>
      <c r="J343" s="647">
        <f>G343+I343</f>
        <v>418600</v>
      </c>
      <c r="K343" s="532"/>
      <c r="L343" s="533">
        <f t="shared" si="141"/>
        <v>1.1209327360023993</v>
      </c>
      <c r="M343" s="550"/>
      <c r="N343" s="550"/>
      <c r="O343" s="550"/>
      <c r="P343" s="550"/>
      <c r="Q343" s="550"/>
      <c r="R343" s="550"/>
      <c r="S343" s="550"/>
      <c r="T343" s="550"/>
      <c r="U343" s="550"/>
      <c r="V343" s="550"/>
      <c r="W343" s="550"/>
      <c r="X343" s="550"/>
      <c r="Y343" s="550"/>
      <c r="Z343" s="550"/>
      <c r="AA343" s="550"/>
      <c r="AB343" s="550"/>
      <c r="AC343" s="550"/>
      <c r="AD343" s="550"/>
      <c r="AE343" s="550"/>
      <c r="AF343" s="550"/>
      <c r="AG343" s="550"/>
      <c r="AH343" s="550"/>
      <c r="AI343" s="550"/>
      <c r="AJ343" s="550"/>
      <c r="AK343" s="550"/>
      <c r="AL343" s="550"/>
      <c r="AM343" s="550"/>
      <c r="AN343" s="550"/>
      <c r="AO343" s="550"/>
      <c r="AP343" s="550"/>
      <c r="AQ343" s="550"/>
      <c r="AR343" s="550"/>
      <c r="AS343" s="550"/>
      <c r="AT343" s="550"/>
      <c r="AU343" s="550"/>
      <c r="AV343" s="550"/>
      <c r="AW343" s="550"/>
      <c r="AX343" s="550"/>
      <c r="AY343" s="550"/>
      <c r="AZ343" s="550"/>
      <c r="BA343" s="550"/>
      <c r="BB343" s="550"/>
      <c r="BC343" s="550"/>
      <c r="BD343" s="550"/>
      <c r="BE343" s="550"/>
      <c r="BF343" s="550"/>
      <c r="BG343" s="550"/>
      <c r="BH343" s="550"/>
      <c r="BI343" s="550"/>
      <c r="BJ343" s="550"/>
      <c r="BK343" s="550"/>
      <c r="BL343" s="550"/>
      <c r="BM343" s="550"/>
      <c r="BN343" s="550"/>
      <c r="BO343" s="550"/>
      <c r="BP343" s="550"/>
      <c r="BQ343" s="550"/>
      <c r="BR343" s="550"/>
      <c r="BS343" s="550"/>
      <c r="BT343" s="550"/>
      <c r="BU343" s="550"/>
      <c r="BV343" s="550"/>
      <c r="BW343" s="550"/>
      <c r="BX343" s="550"/>
      <c r="BY343" s="550"/>
      <c r="BZ343" s="550"/>
      <c r="CA343" s="550"/>
      <c r="CB343" s="550"/>
      <c r="CC343" s="550"/>
      <c r="CD343" s="550"/>
      <c r="CE343" s="550"/>
      <c r="CF343" s="550"/>
      <c r="CG343" s="550"/>
    </row>
    <row r="344" spans="1:85">
      <c r="A344" s="1174"/>
      <c r="B344" s="3273" t="s">
        <v>382</v>
      </c>
      <c r="C344" s="3274"/>
      <c r="D344" s="1215"/>
      <c r="E344" s="677">
        <f>SUM(E345:E348)</f>
        <v>30929000</v>
      </c>
      <c r="F344" s="677">
        <f t="shared" ref="F344:J344" si="146">SUM(F345:F348)</f>
        <v>12393813</v>
      </c>
      <c r="G344" s="677">
        <f t="shared" si="146"/>
        <v>18500330</v>
      </c>
      <c r="H344" s="1000">
        <f t="shared" ref="H344:H380" si="147">G344/E344</f>
        <v>0.59815480616896766</v>
      </c>
      <c r="I344" s="677">
        <f t="shared" si="146"/>
        <v>0</v>
      </c>
      <c r="J344" s="677">
        <f t="shared" si="146"/>
        <v>18500330</v>
      </c>
      <c r="K344" s="680"/>
      <c r="L344" s="693">
        <f t="shared" si="141"/>
        <v>1.4927068852821967</v>
      </c>
    </row>
    <row r="345" spans="1:85" ht="51.75" customHeight="1">
      <c r="A345" s="1174"/>
      <c r="B345" s="1216"/>
      <c r="C345" s="1194" t="s">
        <v>558</v>
      </c>
      <c r="D345" s="1209">
        <v>6209</v>
      </c>
      <c r="E345" s="535">
        <v>861000</v>
      </c>
      <c r="F345" s="535">
        <v>325813</v>
      </c>
      <c r="G345" s="529">
        <v>403000</v>
      </c>
      <c r="H345" s="629">
        <f t="shared" si="147"/>
        <v>0.46806039488966317</v>
      </c>
      <c r="I345" s="647">
        <v>0</v>
      </c>
      <c r="J345" s="647">
        <f>G345+I345</f>
        <v>403000</v>
      </c>
      <c r="K345" s="532"/>
      <c r="L345" s="533">
        <f t="shared" si="141"/>
        <v>1.2369058324867332</v>
      </c>
    </row>
    <row r="346" spans="1:85" ht="40.5" hidden="1" customHeight="1">
      <c r="A346" s="1174"/>
      <c r="B346" s="1217"/>
      <c r="C346" s="1194" t="s">
        <v>549</v>
      </c>
      <c r="D346" s="1209">
        <v>6257</v>
      </c>
      <c r="E346" s="535">
        <v>0</v>
      </c>
      <c r="F346" s="535">
        <v>0</v>
      </c>
      <c r="G346" s="529"/>
      <c r="H346" s="629" t="e">
        <f t="shared" si="147"/>
        <v>#DIV/0!</v>
      </c>
      <c r="I346" s="647"/>
      <c r="J346" s="647"/>
      <c r="K346" s="532"/>
      <c r="L346" s="533" t="e">
        <f t="shared" si="141"/>
        <v>#DIV/0!</v>
      </c>
    </row>
    <row r="347" spans="1:85" ht="40.5" customHeight="1" thickBot="1">
      <c r="A347" s="1181"/>
      <c r="B347" s="1218"/>
      <c r="C347" s="1219" t="s">
        <v>559</v>
      </c>
      <c r="D347" s="1220">
        <v>6258</v>
      </c>
      <c r="E347" s="698">
        <v>30068000</v>
      </c>
      <c r="F347" s="698">
        <v>12068000</v>
      </c>
      <c r="G347" s="698">
        <v>18097330</v>
      </c>
      <c r="H347" s="767">
        <f t="shared" si="147"/>
        <v>0.60188007183716907</v>
      </c>
      <c r="I347" s="768">
        <v>0</v>
      </c>
      <c r="J347" s="768">
        <f>G347+I347</f>
        <v>18097330</v>
      </c>
      <c r="K347" s="701"/>
      <c r="L347" s="770">
        <f t="shared" si="141"/>
        <v>1.4996130261849518</v>
      </c>
    </row>
    <row r="348" spans="1:85" s="550" customFormat="1" ht="51.75" hidden="1" thickBot="1">
      <c r="A348" s="1221"/>
      <c r="B348" s="1222"/>
      <c r="C348" s="1223" t="s">
        <v>557</v>
      </c>
      <c r="D348" s="1224">
        <v>6259</v>
      </c>
      <c r="E348" s="594">
        <v>0</v>
      </c>
      <c r="F348" s="594">
        <v>0</v>
      </c>
      <c r="G348" s="594">
        <v>0</v>
      </c>
      <c r="H348" s="754" t="e">
        <f t="shared" si="147"/>
        <v>#DIV/0!</v>
      </c>
      <c r="I348" s="755"/>
      <c r="J348" s="755"/>
      <c r="K348" s="757"/>
      <c r="L348" s="612" t="e">
        <f t="shared" si="141"/>
        <v>#DIV/0!</v>
      </c>
    </row>
    <row r="349" spans="1:85" ht="15.75" thickBot="1">
      <c r="A349" s="1090">
        <v>801</v>
      </c>
      <c r="B349" s="1091"/>
      <c r="C349" s="1092" t="s">
        <v>560</v>
      </c>
      <c r="D349" s="1092"/>
      <c r="E349" s="509">
        <f>SUM(E350,E355,E359,E368,E385,E394,E398)</f>
        <v>325725</v>
      </c>
      <c r="F349" s="731">
        <f>SUM(F350,F355,F359,F368,F385,F394,F398)</f>
        <v>1755844</v>
      </c>
      <c r="G349" s="731">
        <f>SUM(G350,G355,G359,G368,G385,G394,G398)</f>
        <v>104692</v>
      </c>
      <c r="H349" s="732">
        <f t="shared" si="147"/>
        <v>0.32141223424668047</v>
      </c>
      <c r="I349" s="731">
        <f>SUM(I350,I355,I359,I368,I385,I394,I398)</f>
        <v>0</v>
      </c>
      <c r="J349" s="731">
        <f>SUM(J350,J355,J359,J368,J385,J394,J398)</f>
        <v>104692</v>
      </c>
      <c r="K349" s="733"/>
      <c r="L349" s="643">
        <f t="shared" si="141"/>
        <v>5.9624886948954466E-2</v>
      </c>
    </row>
    <row r="350" spans="1:85" ht="15.75" thickBot="1">
      <c r="A350" s="1225"/>
      <c r="B350" s="1130">
        <v>80102</v>
      </c>
      <c r="C350" s="1226" t="s">
        <v>561</v>
      </c>
      <c r="D350" s="1227"/>
      <c r="E350" s="518">
        <f>SUM(E351,E354)</f>
        <v>2500</v>
      </c>
      <c r="F350" s="518">
        <f>SUM(F351,F354)</f>
        <v>2500</v>
      </c>
      <c r="G350" s="518">
        <f>SUM(G351,G354)</f>
        <v>2500</v>
      </c>
      <c r="H350" s="616">
        <f t="shared" si="147"/>
        <v>1</v>
      </c>
      <c r="I350" s="518">
        <f>SUM(I351,I354)</f>
        <v>0</v>
      </c>
      <c r="J350" s="518">
        <f>SUM(J351,J354)</f>
        <v>2500</v>
      </c>
      <c r="K350" s="738"/>
      <c r="L350" s="553">
        <f t="shared" si="141"/>
        <v>1</v>
      </c>
    </row>
    <row r="351" spans="1:85">
      <c r="A351" s="1228"/>
      <c r="B351" s="3225" t="s">
        <v>338</v>
      </c>
      <c r="C351" s="3226"/>
      <c r="D351" s="1171"/>
      <c r="E351" s="524">
        <f>SUM(E352:E353)</f>
        <v>2500</v>
      </c>
      <c r="F351" s="524">
        <f>SUM(F352:F353)</f>
        <v>2500</v>
      </c>
      <c r="G351" s="524">
        <f>SUM(G352:G353)</f>
        <v>2500</v>
      </c>
      <c r="H351" s="800">
        <f t="shared" si="147"/>
        <v>1</v>
      </c>
      <c r="I351" s="524">
        <f>SUM(I352:I353)</f>
        <v>0</v>
      </c>
      <c r="J351" s="524">
        <f>SUM(J352:J353)</f>
        <v>2500</v>
      </c>
      <c r="K351" s="801"/>
      <c r="L351" s="556">
        <f t="shared" si="141"/>
        <v>1</v>
      </c>
    </row>
    <row r="352" spans="1:85" s="550" customFormat="1">
      <c r="A352" s="1228"/>
      <c r="B352" s="3227"/>
      <c r="C352" s="1229" t="s">
        <v>562</v>
      </c>
      <c r="D352" s="1230" t="s">
        <v>342</v>
      </c>
      <c r="E352" s="535">
        <v>2500</v>
      </c>
      <c r="F352" s="535">
        <v>2500</v>
      </c>
      <c r="G352" s="535">
        <v>2500</v>
      </c>
      <c r="H352" s="629">
        <f t="shared" si="147"/>
        <v>1</v>
      </c>
      <c r="I352" s="647">
        <v>0</v>
      </c>
      <c r="J352" s="647">
        <f>G352+I352</f>
        <v>2500</v>
      </c>
      <c r="K352" s="603"/>
      <c r="L352" s="533">
        <f t="shared" si="141"/>
        <v>1</v>
      </c>
    </row>
    <row r="353" spans="1:12" ht="38.25" hidden="1">
      <c r="A353" s="1228"/>
      <c r="B353" s="3229"/>
      <c r="C353" s="1231" t="s">
        <v>563</v>
      </c>
      <c r="D353" s="1232" t="s">
        <v>564</v>
      </c>
      <c r="E353" s="625">
        <v>0</v>
      </c>
      <c r="F353" s="625">
        <v>0</v>
      </c>
      <c r="G353" s="625">
        <v>0</v>
      </c>
      <c r="H353" s="746" t="e">
        <f t="shared" si="147"/>
        <v>#DIV/0!</v>
      </c>
      <c r="I353" s="747"/>
      <c r="J353" s="747"/>
      <c r="K353" s="596"/>
      <c r="L353" s="563" t="e">
        <f t="shared" si="141"/>
        <v>#DIV/0!</v>
      </c>
    </row>
    <row r="354" spans="1:12" ht="15.75" thickBot="1">
      <c r="A354" s="1233"/>
      <c r="B354" s="3230" t="s">
        <v>343</v>
      </c>
      <c r="C354" s="3236"/>
      <c r="D354" s="1137"/>
      <c r="E354" s="605">
        <v>0</v>
      </c>
      <c r="F354" s="605">
        <v>0</v>
      </c>
      <c r="G354" s="605">
        <v>0</v>
      </c>
      <c r="H354" s="810"/>
      <c r="I354" s="605">
        <v>0</v>
      </c>
      <c r="J354" s="605">
        <v>0</v>
      </c>
      <c r="K354" s="607"/>
      <c r="L354" s="541"/>
    </row>
    <row r="355" spans="1:12" ht="15.75" hidden="1" thickBot="1">
      <c r="A355" s="1228"/>
      <c r="B355" s="1234">
        <v>80116</v>
      </c>
      <c r="C355" s="1235" t="s">
        <v>565</v>
      </c>
      <c r="D355" s="1236"/>
      <c r="E355" s="1120">
        <f>SUM(E356,E358)</f>
        <v>0</v>
      </c>
      <c r="F355" s="1120">
        <f>SUM(F356,F358)</f>
        <v>0</v>
      </c>
      <c r="G355" s="1237">
        <f>SUM(G356,G358)</f>
        <v>0</v>
      </c>
      <c r="H355" s="1034" t="e">
        <f t="shared" si="147"/>
        <v>#DIV/0!</v>
      </c>
      <c r="I355" s="1237">
        <f>SUM(I356,I358)</f>
        <v>0</v>
      </c>
      <c r="J355" s="1237">
        <f>SUM(J356,J358)</f>
        <v>0</v>
      </c>
      <c r="K355" s="1121"/>
      <c r="L355" s="563" t="e">
        <f t="shared" si="141"/>
        <v>#DIV/0!</v>
      </c>
    </row>
    <row r="356" spans="1:12" ht="15" hidden="1" customHeight="1">
      <c r="A356" s="1228"/>
      <c r="B356" s="3278" t="s">
        <v>338</v>
      </c>
      <c r="C356" s="3301"/>
      <c r="D356" s="1238"/>
      <c r="E356" s="524">
        <f>SUM(E357:E357)</f>
        <v>0</v>
      </c>
      <c r="F356" s="524">
        <f>SUM(F357:F357)</f>
        <v>0</v>
      </c>
      <c r="G356" s="956">
        <f>SUM(G357:G357)</f>
        <v>0</v>
      </c>
      <c r="H356" s="800" t="e">
        <f t="shared" si="147"/>
        <v>#DIV/0!</v>
      </c>
      <c r="I356" s="956">
        <f>SUM(I357:I357)</f>
        <v>0</v>
      </c>
      <c r="J356" s="956">
        <f>SUM(J357:J357)</f>
        <v>0</v>
      </c>
      <c r="K356" s="801"/>
      <c r="L356" s="563" t="e">
        <f t="shared" si="141"/>
        <v>#DIV/0!</v>
      </c>
    </row>
    <row r="357" spans="1:12" ht="30" hidden="1" customHeight="1">
      <c r="A357" s="1228"/>
      <c r="B357" s="1239"/>
      <c r="C357" s="1240" t="s">
        <v>566</v>
      </c>
      <c r="D357" s="923" t="s">
        <v>413</v>
      </c>
      <c r="E357" s="535">
        <v>0</v>
      </c>
      <c r="F357" s="535">
        <v>0</v>
      </c>
      <c r="G357" s="600">
        <v>0</v>
      </c>
      <c r="H357" s="629" t="e">
        <f t="shared" si="147"/>
        <v>#DIV/0!</v>
      </c>
      <c r="I357" s="600">
        <v>0</v>
      </c>
      <c r="J357" s="600">
        <v>0</v>
      </c>
      <c r="K357" s="603"/>
      <c r="L357" s="563" t="e">
        <f t="shared" si="141"/>
        <v>#DIV/0!</v>
      </c>
    </row>
    <row r="358" spans="1:12" ht="15.75" hidden="1" thickBot="1">
      <c r="A358" s="1228"/>
      <c r="B358" s="3323" t="s">
        <v>343</v>
      </c>
      <c r="C358" s="3324"/>
      <c r="D358" s="1241"/>
      <c r="E358" s="605">
        <v>0</v>
      </c>
      <c r="F358" s="605">
        <v>0</v>
      </c>
      <c r="G358" s="944">
        <v>0</v>
      </c>
      <c r="H358" s="810" t="e">
        <f t="shared" si="147"/>
        <v>#DIV/0!</v>
      </c>
      <c r="I358" s="944">
        <v>0</v>
      </c>
      <c r="J358" s="944">
        <v>0</v>
      </c>
      <c r="K358" s="607"/>
      <c r="L358" s="549" t="e">
        <f t="shared" si="141"/>
        <v>#DIV/0!</v>
      </c>
    </row>
    <row r="359" spans="1:12" ht="15.75" thickBot="1">
      <c r="A359" s="1228"/>
      <c r="B359" s="1162">
        <v>80130</v>
      </c>
      <c r="C359" s="1226" t="s">
        <v>567</v>
      </c>
      <c r="D359" s="1227"/>
      <c r="E359" s="656">
        <f>SUM(E360,E367)</f>
        <v>6950</v>
      </c>
      <c r="F359" s="656">
        <f t="shared" ref="F359:G359" si="148">SUM(F360,F367)</f>
        <v>6950</v>
      </c>
      <c r="G359" s="656">
        <f t="shared" si="148"/>
        <v>6350</v>
      </c>
      <c r="H359" s="781">
        <f t="shared" si="147"/>
        <v>0.91366906474820142</v>
      </c>
      <c r="I359" s="656">
        <f t="shared" ref="I359:J359" si="149">SUM(I360,I367)</f>
        <v>0</v>
      </c>
      <c r="J359" s="656">
        <f t="shared" si="149"/>
        <v>6350</v>
      </c>
      <c r="K359" s="617"/>
      <c r="L359" s="553">
        <f t="shared" si="141"/>
        <v>0.91366906474820142</v>
      </c>
    </row>
    <row r="360" spans="1:12">
      <c r="A360" s="1228"/>
      <c r="B360" s="3225" t="s">
        <v>338</v>
      </c>
      <c r="C360" s="3226"/>
      <c r="D360" s="1171"/>
      <c r="E360" s="524">
        <f>SUM(E361:E366)</f>
        <v>6950</v>
      </c>
      <c r="F360" s="524">
        <f t="shared" ref="F360:G360" si="150">SUM(F361:F366)</f>
        <v>6950</v>
      </c>
      <c r="G360" s="524">
        <f t="shared" si="150"/>
        <v>6350</v>
      </c>
      <c r="H360" s="800">
        <f t="shared" si="147"/>
        <v>0.91366906474820142</v>
      </c>
      <c r="I360" s="524">
        <f t="shared" ref="I360:J360" si="151">SUM(I361:I366)</f>
        <v>0</v>
      </c>
      <c r="J360" s="524">
        <f t="shared" si="151"/>
        <v>6350</v>
      </c>
      <c r="K360" s="801"/>
      <c r="L360" s="556">
        <f t="shared" si="141"/>
        <v>0.91366906474820142</v>
      </c>
    </row>
    <row r="361" spans="1:12" ht="51.75" hidden="1" customHeight="1">
      <c r="A361" s="1228"/>
      <c r="B361" s="3319"/>
      <c r="C361" s="1242"/>
      <c r="D361" s="1243" t="s">
        <v>341</v>
      </c>
      <c r="E361" s="529">
        <v>0</v>
      </c>
      <c r="F361" s="529">
        <v>0</v>
      </c>
      <c r="G361" s="529">
        <v>0</v>
      </c>
      <c r="H361" s="666" t="e">
        <f t="shared" si="147"/>
        <v>#DIV/0!</v>
      </c>
      <c r="I361" s="529">
        <v>0</v>
      </c>
      <c r="J361" s="529">
        <v>0</v>
      </c>
      <c r="K361" s="1041"/>
      <c r="L361" s="563" t="e">
        <f t="shared" si="141"/>
        <v>#DIV/0!</v>
      </c>
    </row>
    <row r="362" spans="1:12" ht="26.25" hidden="1" customHeight="1">
      <c r="A362" s="1228"/>
      <c r="B362" s="3320"/>
      <c r="C362" s="1242"/>
      <c r="D362" s="1243" t="s">
        <v>362</v>
      </c>
      <c r="E362" s="535">
        <v>0</v>
      </c>
      <c r="F362" s="535">
        <v>0</v>
      </c>
      <c r="G362" s="535">
        <v>0</v>
      </c>
      <c r="H362" s="629" t="e">
        <f t="shared" si="147"/>
        <v>#DIV/0!</v>
      </c>
      <c r="I362" s="535">
        <v>0</v>
      </c>
      <c r="J362" s="535">
        <v>0</v>
      </c>
      <c r="K362" s="603"/>
      <c r="L362" s="563" t="e">
        <f t="shared" si="141"/>
        <v>#DIV/0!</v>
      </c>
    </row>
    <row r="363" spans="1:12" ht="15" hidden="1" customHeight="1">
      <c r="A363" s="1228"/>
      <c r="B363" s="3321"/>
      <c r="C363" s="3260" t="s">
        <v>562</v>
      </c>
      <c r="D363" s="751" t="s">
        <v>341</v>
      </c>
      <c r="E363" s="535">
        <v>0</v>
      </c>
      <c r="F363" s="535">
        <v>0</v>
      </c>
      <c r="G363" s="535"/>
      <c r="H363" s="629" t="e">
        <f t="shared" si="147"/>
        <v>#DIV/0!</v>
      </c>
      <c r="I363" s="535"/>
      <c r="J363" s="535"/>
      <c r="K363" s="603"/>
      <c r="L363" s="563" t="e">
        <f t="shared" si="141"/>
        <v>#DIV/0!</v>
      </c>
    </row>
    <row r="364" spans="1:12" ht="15" hidden="1" customHeight="1">
      <c r="A364" s="1228"/>
      <c r="B364" s="3321"/>
      <c r="C364" s="3261"/>
      <c r="D364" s="751" t="s">
        <v>362</v>
      </c>
      <c r="E364" s="535">
        <v>0</v>
      </c>
      <c r="F364" s="535">
        <v>0</v>
      </c>
      <c r="G364" s="535"/>
      <c r="H364" s="629" t="e">
        <f t="shared" si="147"/>
        <v>#DIV/0!</v>
      </c>
      <c r="I364" s="535"/>
      <c r="J364" s="535"/>
      <c r="K364" s="603"/>
      <c r="L364" s="563" t="e">
        <f t="shared" si="141"/>
        <v>#DIV/0!</v>
      </c>
    </row>
    <row r="365" spans="1:12" ht="15" customHeight="1">
      <c r="A365" s="1228"/>
      <c r="B365" s="3321"/>
      <c r="C365" s="3262"/>
      <c r="D365" s="751" t="s">
        <v>342</v>
      </c>
      <c r="E365" s="535">
        <v>6950</v>
      </c>
      <c r="F365" s="535">
        <v>6950</v>
      </c>
      <c r="G365" s="535">
        <v>6350</v>
      </c>
      <c r="H365" s="629">
        <f t="shared" si="147"/>
        <v>0.91366906474820142</v>
      </c>
      <c r="I365" s="535">
        <v>0</v>
      </c>
      <c r="J365" s="647">
        <f>G365+I365</f>
        <v>6350</v>
      </c>
      <c r="K365" s="603"/>
      <c r="L365" s="533">
        <f t="shared" si="141"/>
        <v>0.91366906474820142</v>
      </c>
    </row>
    <row r="366" spans="1:12" ht="30" hidden="1" customHeight="1">
      <c r="A366" s="1228"/>
      <c r="B366" s="3322"/>
      <c r="C366" s="1244" t="s">
        <v>563</v>
      </c>
      <c r="D366" s="795" t="s">
        <v>564</v>
      </c>
      <c r="E366" s="535">
        <v>0</v>
      </c>
      <c r="F366" s="535">
        <v>0</v>
      </c>
      <c r="G366" s="535"/>
      <c r="H366" s="629" t="e">
        <f t="shared" si="147"/>
        <v>#DIV/0!</v>
      </c>
      <c r="I366" s="535"/>
      <c r="J366" s="535"/>
      <c r="K366" s="603"/>
      <c r="L366" s="563" t="e">
        <f t="shared" si="141"/>
        <v>#DIV/0!</v>
      </c>
    </row>
    <row r="367" spans="1:12" ht="15" customHeight="1" thickBot="1">
      <c r="A367" s="1228"/>
      <c r="B367" s="3236" t="s">
        <v>343</v>
      </c>
      <c r="C367" s="3236"/>
      <c r="D367" s="1245"/>
      <c r="E367" s="573">
        <v>0</v>
      </c>
      <c r="F367" s="573">
        <v>0</v>
      </c>
      <c r="G367" s="573">
        <v>0</v>
      </c>
      <c r="H367" s="797"/>
      <c r="I367" s="573">
        <v>0</v>
      </c>
      <c r="J367" s="573">
        <v>0</v>
      </c>
      <c r="K367" s="798"/>
      <c r="L367" s="576"/>
    </row>
    <row r="368" spans="1:12" ht="15" customHeight="1" thickBot="1">
      <c r="A368" s="1228"/>
      <c r="B368" s="1162">
        <v>80146</v>
      </c>
      <c r="C368" s="1226" t="s">
        <v>568</v>
      </c>
      <c r="D368" s="1227"/>
      <c r="E368" s="656">
        <f>SUM(E369,E384)</f>
        <v>285255</v>
      </c>
      <c r="F368" s="656">
        <f>SUM(F369,F384)</f>
        <v>1608654</v>
      </c>
      <c r="G368" s="656">
        <f>SUM(G369,G384)</f>
        <v>64742</v>
      </c>
      <c r="H368" s="781">
        <f t="shared" si="147"/>
        <v>0.22696184115966417</v>
      </c>
      <c r="I368" s="656">
        <f>SUM(I369,I384)</f>
        <v>0</v>
      </c>
      <c r="J368" s="656">
        <f>SUM(J369,J384)</f>
        <v>64742</v>
      </c>
      <c r="K368" s="617"/>
      <c r="L368" s="553">
        <f t="shared" si="141"/>
        <v>4.0246069073896565E-2</v>
      </c>
    </row>
    <row r="369" spans="1:13" ht="15" customHeight="1">
      <c r="A369" s="1228"/>
      <c r="B369" s="3225" t="s">
        <v>338</v>
      </c>
      <c r="C369" s="3226"/>
      <c r="D369" s="1246"/>
      <c r="E369" s="1247">
        <f>SUM(E370:E383)</f>
        <v>285255</v>
      </c>
      <c r="F369" s="555">
        <f>SUM(F370:F383)</f>
        <v>1608654</v>
      </c>
      <c r="G369" s="555">
        <f>SUM(G370:G383)</f>
        <v>64742</v>
      </c>
      <c r="H369" s="1248">
        <f t="shared" si="147"/>
        <v>0.22696184115966417</v>
      </c>
      <c r="I369" s="555">
        <f>SUM(I370:I383)</f>
        <v>0</v>
      </c>
      <c r="J369" s="555">
        <f>SUM(J370:J383)</f>
        <v>64742</v>
      </c>
      <c r="K369" s="742"/>
      <c r="L369" s="556">
        <f t="shared" si="141"/>
        <v>4.0246069073896565E-2</v>
      </c>
    </row>
    <row r="370" spans="1:13" ht="15" customHeight="1">
      <c r="A370" s="1228"/>
      <c r="B370" s="3251"/>
      <c r="C370" s="3260" t="s">
        <v>562</v>
      </c>
      <c r="D370" s="1249" t="s">
        <v>340</v>
      </c>
      <c r="E370" s="684">
        <v>4657</v>
      </c>
      <c r="F370" s="535">
        <v>4657</v>
      </c>
      <c r="G370" s="535">
        <v>4657</v>
      </c>
      <c r="H370" s="1250">
        <f t="shared" si="147"/>
        <v>1</v>
      </c>
      <c r="I370" s="1251">
        <v>0</v>
      </c>
      <c r="J370" s="647">
        <f>G370+I370</f>
        <v>4657</v>
      </c>
      <c r="K370" s="603"/>
      <c r="L370" s="533">
        <f t="shared" si="141"/>
        <v>1</v>
      </c>
    </row>
    <row r="371" spans="1:13" ht="15" hidden="1" customHeight="1">
      <c r="A371" s="1228"/>
      <c r="B371" s="3245"/>
      <c r="C371" s="3262"/>
      <c r="D371" s="1249" t="s">
        <v>342</v>
      </c>
      <c r="E371" s="684">
        <v>0</v>
      </c>
      <c r="F371" s="535">
        <v>0</v>
      </c>
      <c r="G371" s="600"/>
      <c r="H371" s="1250" t="e">
        <f t="shared" si="147"/>
        <v>#DIV/0!</v>
      </c>
      <c r="I371" s="1251"/>
      <c r="J371" s="647">
        <f t="shared" ref="J371:J382" si="152">G371+I371</f>
        <v>0</v>
      </c>
      <c r="K371" s="603"/>
      <c r="L371" s="533" t="e">
        <f t="shared" si="141"/>
        <v>#DIV/0!</v>
      </c>
    </row>
    <row r="372" spans="1:13" ht="52.5" hidden="1" customHeight="1">
      <c r="A372" s="1228"/>
      <c r="B372" s="3228"/>
      <c r="C372" s="1252" t="s">
        <v>569</v>
      </c>
      <c r="D372" s="1253" t="s">
        <v>570</v>
      </c>
      <c r="E372" s="1254">
        <v>0</v>
      </c>
      <c r="F372" s="529">
        <v>2925</v>
      </c>
      <c r="G372" s="529">
        <v>0</v>
      </c>
      <c r="H372" s="1255"/>
      <c r="I372" s="1256">
        <v>0</v>
      </c>
      <c r="J372" s="647">
        <f t="shared" si="152"/>
        <v>0</v>
      </c>
      <c r="K372" s="1257"/>
      <c r="L372" s="533">
        <f t="shared" si="141"/>
        <v>0</v>
      </c>
    </row>
    <row r="373" spans="1:13" ht="66" hidden="1" customHeight="1">
      <c r="A373" s="1228"/>
      <c r="B373" s="3228"/>
      <c r="C373" s="1258" t="s">
        <v>571</v>
      </c>
      <c r="D373" s="1259" t="s">
        <v>489</v>
      </c>
      <c r="E373" s="1260">
        <v>0</v>
      </c>
      <c r="F373" s="1065">
        <v>16573</v>
      </c>
      <c r="G373" s="1065">
        <v>0</v>
      </c>
      <c r="H373" s="1261"/>
      <c r="I373" s="1262">
        <v>0</v>
      </c>
      <c r="J373" s="647">
        <f t="shared" si="152"/>
        <v>0</v>
      </c>
      <c r="K373" s="1263"/>
      <c r="L373" s="533">
        <f t="shared" si="141"/>
        <v>0</v>
      </c>
    </row>
    <row r="374" spans="1:13" ht="59.25" hidden="1" customHeight="1">
      <c r="A374" s="1228"/>
      <c r="B374" s="1264"/>
      <c r="C374" s="1265" t="s">
        <v>572</v>
      </c>
      <c r="D374" s="3314" t="s">
        <v>573</v>
      </c>
      <c r="E374" s="1254">
        <v>24273</v>
      </c>
      <c r="F374" s="529">
        <v>97772</v>
      </c>
      <c r="G374" s="529">
        <v>0</v>
      </c>
      <c r="H374" s="1266">
        <f t="shared" si="147"/>
        <v>0</v>
      </c>
      <c r="I374" s="1267">
        <v>0</v>
      </c>
      <c r="J374" s="647">
        <f t="shared" si="152"/>
        <v>0</v>
      </c>
      <c r="K374" s="1041"/>
      <c r="L374" s="533">
        <f t="shared" si="141"/>
        <v>0</v>
      </c>
      <c r="M374" s="1028"/>
    </row>
    <row r="375" spans="1:13" ht="51" hidden="1" customHeight="1" thickBot="1">
      <c r="A375" s="1233"/>
      <c r="B375" s="1268"/>
      <c r="C375" s="1269" t="s">
        <v>574</v>
      </c>
      <c r="D375" s="3315"/>
      <c r="E375" s="1270">
        <v>60548</v>
      </c>
      <c r="F375" s="1085">
        <v>109020</v>
      </c>
      <c r="G375" s="1085">
        <v>0</v>
      </c>
      <c r="H375" s="1271">
        <f t="shared" si="147"/>
        <v>0</v>
      </c>
      <c r="I375" s="1272">
        <v>0</v>
      </c>
      <c r="J375" s="768">
        <f t="shared" si="152"/>
        <v>0</v>
      </c>
      <c r="K375" s="982"/>
      <c r="L375" s="770">
        <f t="shared" si="141"/>
        <v>0</v>
      </c>
    </row>
    <row r="376" spans="1:13" s="550" customFormat="1" ht="51">
      <c r="A376" s="1228"/>
      <c r="B376" s="1273"/>
      <c r="C376" s="1146" t="s">
        <v>575</v>
      </c>
      <c r="D376" s="1274" t="s">
        <v>573</v>
      </c>
      <c r="E376" s="899">
        <v>152549</v>
      </c>
      <c r="F376" s="625">
        <v>152549</v>
      </c>
      <c r="G376" s="625">
        <v>50850</v>
      </c>
      <c r="H376" s="1275">
        <f t="shared" si="147"/>
        <v>0.33333551842358849</v>
      </c>
      <c r="I376" s="1276">
        <v>0</v>
      </c>
      <c r="J376" s="747">
        <f t="shared" si="152"/>
        <v>50850</v>
      </c>
      <c r="K376" s="834"/>
      <c r="L376" s="758">
        <f t="shared" si="141"/>
        <v>0.33333551842358849</v>
      </c>
    </row>
    <row r="377" spans="1:13" ht="92.25" hidden="1" customHeight="1">
      <c r="A377" s="1228"/>
      <c r="B377" s="1264"/>
      <c r="C377" s="1277" t="s">
        <v>576</v>
      </c>
      <c r="D377" s="1249" t="s">
        <v>573</v>
      </c>
      <c r="E377" s="1254">
        <v>0</v>
      </c>
      <c r="F377" s="529">
        <v>130107</v>
      </c>
      <c r="G377" s="529">
        <v>0</v>
      </c>
      <c r="H377" s="1278"/>
      <c r="I377" s="1279">
        <v>0</v>
      </c>
      <c r="J377" s="647">
        <f t="shared" si="152"/>
        <v>0</v>
      </c>
      <c r="K377" s="1041"/>
      <c r="L377" s="533">
        <f t="shared" si="141"/>
        <v>0</v>
      </c>
    </row>
    <row r="378" spans="1:13" ht="63.75" hidden="1" customHeight="1">
      <c r="A378" s="1228"/>
      <c r="B378" s="1264"/>
      <c r="C378" s="1244" t="s">
        <v>577</v>
      </c>
      <c r="D378" s="3316" t="s">
        <v>486</v>
      </c>
      <c r="E378" s="1260">
        <v>4527</v>
      </c>
      <c r="F378" s="1065">
        <v>18226</v>
      </c>
      <c r="G378" s="1065">
        <v>0</v>
      </c>
      <c r="H378" s="1275">
        <f t="shared" si="147"/>
        <v>0</v>
      </c>
      <c r="I378" s="1276">
        <v>0</v>
      </c>
      <c r="J378" s="747">
        <f t="shared" si="152"/>
        <v>0</v>
      </c>
      <c r="K378" s="834"/>
      <c r="L378" s="758">
        <f t="shared" si="141"/>
        <v>0</v>
      </c>
    </row>
    <row r="379" spans="1:13" ht="51" hidden="1" customHeight="1">
      <c r="A379" s="1228"/>
      <c r="B379" s="1264"/>
      <c r="C379" s="1280" t="s">
        <v>578</v>
      </c>
      <c r="D379" s="3316"/>
      <c r="E379" s="1281">
        <v>10996</v>
      </c>
      <c r="F379" s="1083">
        <v>19800</v>
      </c>
      <c r="G379" s="1083">
        <v>0</v>
      </c>
      <c r="H379" s="1278">
        <f t="shared" si="147"/>
        <v>0</v>
      </c>
      <c r="I379" s="1276">
        <v>0</v>
      </c>
      <c r="J379" s="647">
        <f t="shared" si="152"/>
        <v>0</v>
      </c>
      <c r="K379" s="834"/>
      <c r="L379" s="533">
        <f t="shared" si="141"/>
        <v>0</v>
      </c>
    </row>
    <row r="380" spans="1:13" ht="40.5" customHeight="1" thickBot="1">
      <c r="A380" s="1228"/>
      <c r="B380" s="1282"/>
      <c r="C380" s="1283" t="s">
        <v>579</v>
      </c>
      <c r="D380" s="3293"/>
      <c r="E380" s="1254">
        <v>27705</v>
      </c>
      <c r="F380" s="529">
        <v>27705</v>
      </c>
      <c r="G380" s="529">
        <v>9235</v>
      </c>
      <c r="H380" s="1278">
        <f t="shared" si="147"/>
        <v>0.33333333333333331</v>
      </c>
      <c r="I380" s="1276">
        <v>0</v>
      </c>
      <c r="J380" s="647">
        <f t="shared" si="152"/>
        <v>9235</v>
      </c>
      <c r="K380" s="1284"/>
      <c r="L380" s="533">
        <f t="shared" si="141"/>
        <v>0.33333333333333331</v>
      </c>
    </row>
    <row r="381" spans="1:13" ht="89.25" hidden="1" customHeight="1">
      <c r="A381" s="1228"/>
      <c r="B381" s="1264"/>
      <c r="C381" s="1285" t="s">
        <v>580</v>
      </c>
      <c r="D381" s="1286" t="s">
        <v>486</v>
      </c>
      <c r="E381" s="1287">
        <v>0</v>
      </c>
      <c r="F381" s="1200">
        <v>24268</v>
      </c>
      <c r="G381" s="1200">
        <v>0</v>
      </c>
      <c r="H381" s="1275"/>
      <c r="I381" s="1276">
        <v>0</v>
      </c>
      <c r="J381" s="747">
        <f t="shared" si="152"/>
        <v>0</v>
      </c>
      <c r="K381" s="1288"/>
      <c r="L381" s="533">
        <f t="shared" si="141"/>
        <v>0</v>
      </c>
    </row>
    <row r="382" spans="1:13" ht="40.5" hidden="1" customHeight="1">
      <c r="A382" s="1228"/>
      <c r="B382" s="1282"/>
      <c r="C382" s="1289" t="s">
        <v>581</v>
      </c>
      <c r="D382" s="1259" t="s">
        <v>582</v>
      </c>
      <c r="E382" s="1281">
        <v>0</v>
      </c>
      <c r="F382" s="1083">
        <v>1005052</v>
      </c>
      <c r="G382" s="1083">
        <v>0</v>
      </c>
      <c r="H382" s="1278"/>
      <c r="I382" s="1290">
        <v>0</v>
      </c>
      <c r="J382" s="647">
        <f t="shared" si="152"/>
        <v>0</v>
      </c>
      <c r="K382" s="1046"/>
      <c r="L382" s="533">
        <f t="shared" si="141"/>
        <v>0</v>
      </c>
    </row>
    <row r="383" spans="1:13" ht="30" hidden="1" customHeight="1">
      <c r="A383" s="1228"/>
      <c r="B383" s="1282"/>
      <c r="C383" s="1289" t="s">
        <v>563</v>
      </c>
      <c r="D383" s="1253" t="s">
        <v>564</v>
      </c>
      <c r="E383" s="1281">
        <v>0</v>
      </c>
      <c r="F383" s="1083">
        <v>0</v>
      </c>
      <c r="G383" s="1083">
        <v>0</v>
      </c>
      <c r="H383" s="1291"/>
      <c r="I383" s="1292"/>
      <c r="J383" s="1292"/>
      <c r="K383" s="1046"/>
      <c r="L383" s="563" t="e">
        <f t="shared" si="141"/>
        <v>#DIV/0!</v>
      </c>
    </row>
    <row r="384" spans="1:13" ht="15" customHeight="1" thickBot="1">
      <c r="A384" s="1228"/>
      <c r="B384" s="3317" t="s">
        <v>343</v>
      </c>
      <c r="C384" s="3231"/>
      <c r="D384" s="1293"/>
      <c r="E384" s="1294">
        <v>0</v>
      </c>
      <c r="F384" s="573">
        <v>0</v>
      </c>
      <c r="G384" s="573">
        <v>0</v>
      </c>
      <c r="H384" s="1295"/>
      <c r="I384" s="573">
        <v>0</v>
      </c>
      <c r="J384" s="573">
        <v>0</v>
      </c>
      <c r="K384" s="798"/>
      <c r="L384" s="608"/>
    </row>
    <row r="385" spans="1:12" ht="18" customHeight="1" thickBot="1">
      <c r="A385" s="1228"/>
      <c r="B385" s="1170">
        <v>80147</v>
      </c>
      <c r="C385" s="1296" t="s">
        <v>583</v>
      </c>
      <c r="D385" s="1297"/>
      <c r="E385" s="1120">
        <f>SUM(E386,E393)</f>
        <v>31020</v>
      </c>
      <c r="F385" s="1120">
        <f t="shared" ref="F385:G385" si="153">SUM(F386,F393)</f>
        <v>31020</v>
      </c>
      <c r="G385" s="1120">
        <f t="shared" si="153"/>
        <v>31100</v>
      </c>
      <c r="H385" s="1034">
        <f t="shared" ref="H385:H452" si="154">G385/E385</f>
        <v>1.0025789813023855</v>
      </c>
      <c r="I385" s="1120">
        <f t="shared" ref="I385:J385" si="155">SUM(I386,I393)</f>
        <v>0</v>
      </c>
      <c r="J385" s="1120">
        <f t="shared" si="155"/>
        <v>31100</v>
      </c>
      <c r="K385" s="1121"/>
      <c r="L385" s="1054">
        <f t="shared" si="141"/>
        <v>1.0025789813023855</v>
      </c>
    </row>
    <row r="386" spans="1:12">
      <c r="A386" s="1228"/>
      <c r="B386" s="3225" t="s">
        <v>338</v>
      </c>
      <c r="C386" s="3226"/>
      <c r="D386" s="1171"/>
      <c r="E386" s="524">
        <f>SUM(E387:E392)</f>
        <v>31020</v>
      </c>
      <c r="F386" s="524">
        <f t="shared" ref="F386:G386" si="156">SUM(F387:F392)</f>
        <v>31020</v>
      </c>
      <c r="G386" s="524">
        <f t="shared" si="156"/>
        <v>31100</v>
      </c>
      <c r="H386" s="800">
        <f t="shared" si="154"/>
        <v>1.0025789813023855</v>
      </c>
      <c r="I386" s="524">
        <f t="shared" ref="I386:J386" si="157">SUM(I387:I392)</f>
        <v>0</v>
      </c>
      <c r="J386" s="524">
        <f t="shared" si="157"/>
        <v>31100</v>
      </c>
      <c r="K386" s="801"/>
      <c r="L386" s="556">
        <f t="shared" si="141"/>
        <v>1.0025789813023855</v>
      </c>
    </row>
    <row r="387" spans="1:12" hidden="1">
      <c r="A387" s="1228"/>
      <c r="B387" s="3227"/>
      <c r="C387" s="3318" t="s">
        <v>584</v>
      </c>
      <c r="D387" s="795" t="s">
        <v>340</v>
      </c>
      <c r="E387" s="529">
        <v>0</v>
      </c>
      <c r="F387" s="529">
        <v>0</v>
      </c>
      <c r="G387" s="529"/>
      <c r="H387" s="761" t="e">
        <f t="shared" si="154"/>
        <v>#DIV/0!</v>
      </c>
      <c r="I387" s="762"/>
      <c r="J387" s="762"/>
      <c r="K387" s="636"/>
      <c r="L387" s="563" t="e">
        <f t="shared" si="141"/>
        <v>#DIV/0!</v>
      </c>
    </row>
    <row r="388" spans="1:12">
      <c r="A388" s="1228"/>
      <c r="B388" s="3228"/>
      <c r="C388" s="3318"/>
      <c r="D388" s="795" t="s">
        <v>341</v>
      </c>
      <c r="E388" s="634">
        <v>4000</v>
      </c>
      <c r="F388" s="634">
        <v>4000</v>
      </c>
      <c r="G388" s="634">
        <v>4000</v>
      </c>
      <c r="H388" s="761">
        <f t="shared" si="154"/>
        <v>1</v>
      </c>
      <c r="I388" s="762">
        <v>0</v>
      </c>
      <c r="J388" s="647">
        <f t="shared" ref="J388:J392" si="158">G388+I388</f>
        <v>4000</v>
      </c>
      <c r="K388" s="636"/>
      <c r="L388" s="533">
        <f t="shared" si="141"/>
        <v>1</v>
      </c>
    </row>
    <row r="389" spans="1:12">
      <c r="A389" s="1228"/>
      <c r="B389" s="3228"/>
      <c r="C389" s="3318"/>
      <c r="D389" s="795" t="s">
        <v>362</v>
      </c>
      <c r="E389" s="634">
        <v>500</v>
      </c>
      <c r="F389" s="634">
        <v>500</v>
      </c>
      <c r="G389" s="634">
        <v>500</v>
      </c>
      <c r="H389" s="761">
        <f t="shared" si="154"/>
        <v>1</v>
      </c>
      <c r="I389" s="762">
        <v>0</v>
      </c>
      <c r="J389" s="647">
        <f t="shared" si="158"/>
        <v>500</v>
      </c>
      <c r="K389" s="636"/>
      <c r="L389" s="533">
        <f t="shared" si="141"/>
        <v>1</v>
      </c>
    </row>
    <row r="390" spans="1:12" hidden="1">
      <c r="A390" s="1228"/>
      <c r="B390" s="3228"/>
      <c r="C390" s="3318"/>
      <c r="D390" s="795" t="s">
        <v>349</v>
      </c>
      <c r="E390" s="634">
        <v>0</v>
      </c>
      <c r="F390" s="634">
        <v>0</v>
      </c>
      <c r="G390" s="535"/>
      <c r="H390" s="761" t="e">
        <f t="shared" si="154"/>
        <v>#DIV/0!</v>
      </c>
      <c r="I390" s="762"/>
      <c r="J390" s="647">
        <f t="shared" si="158"/>
        <v>0</v>
      </c>
      <c r="K390" s="636"/>
      <c r="L390" s="533" t="e">
        <f t="shared" si="141"/>
        <v>#DIV/0!</v>
      </c>
    </row>
    <row r="391" spans="1:12">
      <c r="A391" s="1228"/>
      <c r="B391" s="3228"/>
      <c r="C391" s="3318"/>
      <c r="D391" s="751" t="s">
        <v>342</v>
      </c>
      <c r="E391" s="535">
        <v>26520</v>
      </c>
      <c r="F391" s="535">
        <v>26520</v>
      </c>
      <c r="G391" s="535">
        <v>26600</v>
      </c>
      <c r="H391" s="629">
        <f t="shared" si="154"/>
        <v>1.0030165912518854</v>
      </c>
      <c r="I391" s="647">
        <v>0</v>
      </c>
      <c r="J391" s="647">
        <f t="shared" si="158"/>
        <v>26600</v>
      </c>
      <c r="K391" s="603"/>
      <c r="L391" s="533">
        <f t="shared" si="141"/>
        <v>1.0030165912518854</v>
      </c>
    </row>
    <row r="392" spans="1:12" ht="31.5" hidden="1" customHeight="1">
      <c r="A392" s="1228"/>
      <c r="B392" s="1298"/>
      <c r="C392" s="860" t="s">
        <v>563</v>
      </c>
      <c r="D392" s="751" t="s">
        <v>564</v>
      </c>
      <c r="E392" s="535">
        <v>0</v>
      </c>
      <c r="F392" s="535">
        <v>0</v>
      </c>
      <c r="G392" s="600"/>
      <c r="H392" s="629" t="e">
        <f t="shared" si="154"/>
        <v>#DIV/0!</v>
      </c>
      <c r="I392" s="647"/>
      <c r="J392" s="647">
        <f t="shared" si="158"/>
        <v>0</v>
      </c>
      <c r="K392" s="603"/>
      <c r="L392" s="563" t="e">
        <f t="shared" si="141"/>
        <v>#DIV/0!</v>
      </c>
    </row>
    <row r="393" spans="1:12" ht="18.75" customHeight="1" thickBot="1">
      <c r="A393" s="1228"/>
      <c r="B393" s="3230" t="s">
        <v>343</v>
      </c>
      <c r="C393" s="3236"/>
      <c r="D393" s="1299"/>
      <c r="E393" s="573">
        <v>0</v>
      </c>
      <c r="F393" s="573">
        <v>0</v>
      </c>
      <c r="G393" s="573">
        <v>0</v>
      </c>
      <c r="H393" s="797"/>
      <c r="I393" s="573">
        <v>0</v>
      </c>
      <c r="J393" s="573">
        <v>0</v>
      </c>
      <c r="K393" s="798"/>
      <c r="L393" s="541"/>
    </row>
    <row r="394" spans="1:12" ht="66.75" hidden="1" customHeight="1" thickBot="1">
      <c r="A394" s="1228"/>
      <c r="B394" s="1096">
        <v>80153</v>
      </c>
      <c r="C394" s="1097" t="s">
        <v>585</v>
      </c>
      <c r="D394" s="1098"/>
      <c r="E394" s="1110">
        <f t="shared" ref="E394:G394" si="159">SUM(E395,E397)</f>
        <v>0</v>
      </c>
      <c r="F394" s="1110">
        <f t="shared" si="159"/>
        <v>0</v>
      </c>
      <c r="G394" s="1110">
        <f t="shared" si="159"/>
        <v>0</v>
      </c>
      <c r="H394" s="616"/>
      <c r="I394" s="1110">
        <f t="shared" ref="I394:J394" si="160">SUM(I395,I397)</f>
        <v>0</v>
      </c>
      <c r="J394" s="1110">
        <f t="shared" si="160"/>
        <v>0</v>
      </c>
      <c r="K394" s="738"/>
      <c r="L394" s="563" t="e">
        <f t="shared" si="141"/>
        <v>#DIV/0!</v>
      </c>
    </row>
    <row r="395" spans="1:12" ht="65.25" hidden="1" customHeight="1">
      <c r="A395" s="1228"/>
      <c r="B395" s="3263" t="s">
        <v>338</v>
      </c>
      <c r="C395" s="3307"/>
      <c r="D395" s="1171"/>
      <c r="E395" s="956">
        <f>SUM(E396)</f>
        <v>0</v>
      </c>
      <c r="F395" s="956">
        <f t="shared" ref="F395:J395" si="161">SUM(F396)</f>
        <v>0</v>
      </c>
      <c r="G395" s="956">
        <f t="shared" si="161"/>
        <v>0</v>
      </c>
      <c r="H395" s="800"/>
      <c r="I395" s="956">
        <f t="shared" si="161"/>
        <v>0</v>
      </c>
      <c r="J395" s="956">
        <f t="shared" si="161"/>
        <v>0</v>
      </c>
      <c r="K395" s="801"/>
      <c r="L395" s="563" t="e">
        <f t="shared" ref="L395:L458" si="162">J395/F395</f>
        <v>#DIV/0!</v>
      </c>
    </row>
    <row r="396" spans="1:12" ht="56.25" hidden="1" customHeight="1">
      <c r="A396" s="1228"/>
      <c r="B396" s="1103"/>
      <c r="C396" s="1300" t="s">
        <v>363</v>
      </c>
      <c r="D396" s="1301" t="s">
        <v>455</v>
      </c>
      <c r="E396" s="600">
        <v>0</v>
      </c>
      <c r="F396" s="600">
        <v>0</v>
      </c>
      <c r="G396" s="600">
        <v>0</v>
      </c>
      <c r="H396" s="629"/>
      <c r="I396" s="600">
        <v>0</v>
      </c>
      <c r="J396" s="600">
        <v>0</v>
      </c>
      <c r="K396" s="603"/>
      <c r="L396" s="563" t="e">
        <f t="shared" si="162"/>
        <v>#DIV/0!</v>
      </c>
    </row>
    <row r="397" spans="1:12" ht="15" hidden="1" customHeight="1" thickBot="1">
      <c r="A397" s="1228"/>
      <c r="B397" s="3308" t="s">
        <v>343</v>
      </c>
      <c r="C397" s="3307"/>
      <c r="D397" s="1171"/>
      <c r="E397" s="710">
        <v>0</v>
      </c>
      <c r="F397" s="710">
        <v>0</v>
      </c>
      <c r="G397" s="710">
        <v>0</v>
      </c>
      <c r="H397" s="1000"/>
      <c r="I397" s="710">
        <v>0</v>
      </c>
      <c r="J397" s="710">
        <v>0</v>
      </c>
      <c r="K397" s="1169"/>
      <c r="L397" s="549" t="e">
        <f t="shared" si="162"/>
        <v>#DIV/0!</v>
      </c>
    </row>
    <row r="398" spans="1:12" ht="16.5" hidden="1" customHeight="1" thickBot="1">
      <c r="A398" s="1228"/>
      <c r="B398" s="1130">
        <v>80195</v>
      </c>
      <c r="C398" s="1226" t="s">
        <v>11</v>
      </c>
      <c r="D398" s="1227"/>
      <c r="E398" s="518">
        <f>SUM(E399,E405)</f>
        <v>0</v>
      </c>
      <c r="F398" s="812">
        <f>SUM(F399,F405)</f>
        <v>106720</v>
      </c>
      <c r="G398" s="812">
        <f>SUM(G399,G405)</f>
        <v>0</v>
      </c>
      <c r="H398" s="616"/>
      <c r="I398" s="812">
        <f>SUM(I399,I405)</f>
        <v>0</v>
      </c>
      <c r="J398" s="812">
        <f>SUM(J399,J405)</f>
        <v>0</v>
      </c>
      <c r="K398" s="738"/>
      <c r="L398" s="553">
        <f t="shared" si="162"/>
        <v>0</v>
      </c>
    </row>
    <row r="399" spans="1:12" s="1212" customFormat="1" ht="17.25" hidden="1" customHeight="1">
      <c r="A399" s="1228"/>
      <c r="B399" s="3225" t="s">
        <v>338</v>
      </c>
      <c r="C399" s="3226"/>
      <c r="D399" s="1302"/>
      <c r="E399" s="555">
        <f>SUM(E400:E404)</f>
        <v>0</v>
      </c>
      <c r="F399" s="813">
        <f>SUM(F400:F404)</f>
        <v>106640</v>
      </c>
      <c r="G399" s="813">
        <f>SUM(G400:G404)</f>
        <v>0</v>
      </c>
      <c r="H399" s="741"/>
      <c r="I399" s="813">
        <f>SUM(I400:I404)</f>
        <v>0</v>
      </c>
      <c r="J399" s="813">
        <f>SUM(J400:J404)</f>
        <v>0</v>
      </c>
      <c r="K399" s="742"/>
      <c r="L399" s="556">
        <f t="shared" si="162"/>
        <v>0</v>
      </c>
    </row>
    <row r="400" spans="1:12" s="1212" customFormat="1" ht="66.75" hidden="1" customHeight="1">
      <c r="A400" s="1228"/>
      <c r="B400" s="3309"/>
      <c r="C400" s="1303" t="s">
        <v>586</v>
      </c>
      <c r="D400" s="751" t="s">
        <v>362</v>
      </c>
      <c r="E400" s="529">
        <v>0</v>
      </c>
      <c r="F400" s="1040">
        <v>0</v>
      </c>
      <c r="G400" s="1040"/>
      <c r="H400" s="629"/>
      <c r="I400" s="647"/>
      <c r="J400" s="647"/>
      <c r="K400" s="603"/>
      <c r="L400" s="563" t="e">
        <f t="shared" si="162"/>
        <v>#DIV/0!</v>
      </c>
    </row>
    <row r="401" spans="1:14" s="1212" customFormat="1" ht="6" hidden="1" customHeight="1">
      <c r="A401" s="1228"/>
      <c r="B401" s="3310"/>
      <c r="C401" s="1304" t="s">
        <v>587</v>
      </c>
      <c r="D401" s="928" t="s">
        <v>588</v>
      </c>
      <c r="E401" s="535">
        <v>0</v>
      </c>
      <c r="F401" s="600">
        <v>0</v>
      </c>
      <c r="G401" s="600"/>
      <c r="H401" s="629"/>
      <c r="I401" s="647"/>
      <c r="J401" s="647"/>
      <c r="K401" s="603"/>
      <c r="L401" s="563" t="e">
        <f t="shared" si="162"/>
        <v>#DIV/0!</v>
      </c>
    </row>
    <row r="402" spans="1:14" s="1212" customFormat="1" ht="54" hidden="1" customHeight="1">
      <c r="A402" s="1228"/>
      <c r="B402" s="3310"/>
      <c r="C402" s="1305" t="s">
        <v>589</v>
      </c>
      <c r="D402" s="795" t="s">
        <v>359</v>
      </c>
      <c r="E402" s="535">
        <v>0</v>
      </c>
      <c r="F402" s="600">
        <v>0</v>
      </c>
      <c r="G402" s="600"/>
      <c r="H402" s="629"/>
      <c r="I402" s="647"/>
      <c r="J402" s="647"/>
      <c r="K402" s="603"/>
      <c r="L402" s="563" t="e">
        <f t="shared" si="162"/>
        <v>#DIV/0!</v>
      </c>
    </row>
    <row r="403" spans="1:14" s="1212" customFormat="1" ht="64.5" hidden="1" thickBot="1">
      <c r="A403" s="1228"/>
      <c r="B403" s="3310"/>
      <c r="C403" s="1306" t="s">
        <v>590</v>
      </c>
      <c r="D403" s="536" t="s">
        <v>591</v>
      </c>
      <c r="E403" s="560">
        <v>0</v>
      </c>
      <c r="F403" s="560">
        <v>5717</v>
      </c>
      <c r="G403" s="560">
        <v>0</v>
      </c>
      <c r="H403" s="746"/>
      <c r="I403" s="747">
        <v>0</v>
      </c>
      <c r="J403" s="647">
        <f t="shared" ref="J403:J406" si="163">G403+I403</f>
        <v>0</v>
      </c>
      <c r="K403" s="995"/>
      <c r="L403" s="533">
        <f t="shared" si="162"/>
        <v>0</v>
      </c>
      <c r="M403" s="1307"/>
      <c r="N403" s="1307"/>
    </row>
    <row r="404" spans="1:14" s="1309" customFormat="1" ht="42" hidden="1" customHeight="1">
      <c r="A404" s="1228"/>
      <c r="B404" s="3311"/>
      <c r="C404" s="1308" t="s">
        <v>592</v>
      </c>
      <c r="D404" s="994" t="s">
        <v>593</v>
      </c>
      <c r="E404" s="535">
        <v>0</v>
      </c>
      <c r="F404" s="535">
        <v>100923</v>
      </c>
      <c r="G404" s="535">
        <v>0</v>
      </c>
      <c r="H404" s="629"/>
      <c r="I404" s="647">
        <v>0</v>
      </c>
      <c r="J404" s="647">
        <f t="shared" si="163"/>
        <v>0</v>
      </c>
      <c r="K404" s="532"/>
      <c r="L404" s="533">
        <f t="shared" si="162"/>
        <v>0</v>
      </c>
    </row>
    <row r="405" spans="1:14" s="1309" customFormat="1" ht="17.25" hidden="1" customHeight="1">
      <c r="A405" s="1228"/>
      <c r="B405" s="3312" t="s">
        <v>382</v>
      </c>
      <c r="C405" s="3313"/>
      <c r="D405" s="1310"/>
      <c r="E405" s="677">
        <f>E406</f>
        <v>0</v>
      </c>
      <c r="F405" s="677">
        <f t="shared" ref="F405:J405" si="164">F406</f>
        <v>80</v>
      </c>
      <c r="G405" s="677">
        <f t="shared" si="164"/>
        <v>0</v>
      </c>
      <c r="H405" s="1000"/>
      <c r="I405" s="677">
        <f t="shared" si="164"/>
        <v>0</v>
      </c>
      <c r="J405" s="677">
        <f t="shared" si="164"/>
        <v>0</v>
      </c>
      <c r="K405" s="680"/>
      <c r="L405" s="693">
        <f t="shared" si="162"/>
        <v>0</v>
      </c>
    </row>
    <row r="406" spans="1:14" s="1309" customFormat="1" ht="39.75" hidden="1" customHeight="1" thickBot="1">
      <c r="A406" s="1233"/>
      <c r="B406" s="1311"/>
      <c r="C406" s="1312" t="s">
        <v>592</v>
      </c>
      <c r="D406" s="1313" t="s">
        <v>594</v>
      </c>
      <c r="E406" s="1085">
        <v>0</v>
      </c>
      <c r="F406" s="1085">
        <v>80</v>
      </c>
      <c r="G406" s="1085">
        <v>0</v>
      </c>
      <c r="H406" s="981"/>
      <c r="I406" s="1314">
        <v>0</v>
      </c>
      <c r="J406" s="647">
        <f t="shared" si="163"/>
        <v>0</v>
      </c>
      <c r="K406" s="1315"/>
      <c r="L406" s="780">
        <f t="shared" si="162"/>
        <v>0</v>
      </c>
    </row>
    <row r="407" spans="1:14" s="1309" customFormat="1" ht="15.75" thickBot="1">
      <c r="A407" s="1124">
        <v>851</v>
      </c>
      <c r="B407" s="1125"/>
      <c r="C407" s="1126" t="s">
        <v>595</v>
      </c>
      <c r="D407" s="1127"/>
      <c r="E407" s="1316">
        <f>E408+E416+E420+E424+E433+E438+E443+E451+E429+E447</f>
        <v>55000</v>
      </c>
      <c r="F407" s="1316">
        <f>F408+F416+F420+F424+F433+F438+F443+F451+F429+F447</f>
        <v>14493000</v>
      </c>
      <c r="G407" s="1316">
        <f>G408+G416+G420+G424+G433+G438+G443+G451+G429+G447</f>
        <v>19766691</v>
      </c>
      <c r="H407" s="986">
        <f t="shared" si="154"/>
        <v>359.39438181818184</v>
      </c>
      <c r="I407" s="1316">
        <f>I408+I416+I420+I424+I433+I438+I443+I451+I429+I447</f>
        <v>160000</v>
      </c>
      <c r="J407" s="1316">
        <f>J408+J416+J420+J424+J433+J438+J443+J451+J429+J447</f>
        <v>19926691</v>
      </c>
      <c r="K407" s="1094"/>
      <c r="L407" s="643">
        <f t="shared" si="162"/>
        <v>1.3749183053888083</v>
      </c>
    </row>
    <row r="408" spans="1:14" s="1309" customFormat="1" ht="15.75" hidden="1" thickBot="1">
      <c r="A408" s="1317"/>
      <c r="B408" s="1162">
        <v>85111</v>
      </c>
      <c r="C408" s="1131" t="s">
        <v>596</v>
      </c>
      <c r="D408" s="1132"/>
      <c r="E408" s="812">
        <f>SUM(E409,E412)</f>
        <v>0</v>
      </c>
      <c r="F408" s="812">
        <f>SUM(F409,F412)</f>
        <v>880000</v>
      </c>
      <c r="G408" s="812">
        <f>SUM(G409,G412)</f>
        <v>0</v>
      </c>
      <c r="H408" s="616"/>
      <c r="I408" s="812">
        <f>SUM(I409,I412)</f>
        <v>0</v>
      </c>
      <c r="J408" s="812">
        <f>SUM(J409,J412)</f>
        <v>0</v>
      </c>
      <c r="K408" s="738"/>
      <c r="L408" s="553">
        <f t="shared" si="162"/>
        <v>0</v>
      </c>
    </row>
    <row r="409" spans="1:14" s="1309" customFormat="1" ht="17.25" hidden="1" customHeight="1">
      <c r="A409" s="1318"/>
      <c r="B409" s="3248" t="s">
        <v>338</v>
      </c>
      <c r="C409" s="3304"/>
      <c r="D409" s="1319"/>
      <c r="E409" s="1029">
        <f>SUM(E410:E411)</f>
        <v>0</v>
      </c>
      <c r="F409" s="1029">
        <f>SUM(F410:F411)</f>
        <v>0</v>
      </c>
      <c r="G409" s="1029">
        <f>SUM(G410:G411)</f>
        <v>0</v>
      </c>
      <c r="H409" s="800"/>
      <c r="I409" s="1029">
        <f>SUM(I410:I411)</f>
        <v>0</v>
      </c>
      <c r="J409" s="1029">
        <f>SUM(J410:J411)</f>
        <v>0</v>
      </c>
      <c r="K409" s="801"/>
      <c r="L409" s="772" t="e">
        <f t="shared" si="162"/>
        <v>#DIV/0!</v>
      </c>
    </row>
    <row r="410" spans="1:14" s="1309" customFormat="1" ht="15.75" hidden="1" customHeight="1">
      <c r="A410" s="1318"/>
      <c r="B410" s="3227"/>
      <c r="C410" s="1320" t="s">
        <v>363</v>
      </c>
      <c r="D410" s="1166" t="s">
        <v>455</v>
      </c>
      <c r="E410" s="1043">
        <v>0</v>
      </c>
      <c r="F410" s="1043">
        <v>0</v>
      </c>
      <c r="G410" s="1043">
        <v>0</v>
      </c>
      <c r="H410" s="1044"/>
      <c r="I410" s="1043">
        <v>0</v>
      </c>
      <c r="J410" s="1043">
        <v>0</v>
      </c>
      <c r="K410" s="1046"/>
      <c r="L410" s="563" t="e">
        <f t="shared" si="162"/>
        <v>#DIV/0!</v>
      </c>
    </row>
    <row r="411" spans="1:14" s="1309" customFormat="1" ht="14.25" hidden="1" customHeight="1" thickBot="1">
      <c r="A411" s="1321"/>
      <c r="B411" s="3288"/>
      <c r="C411" s="1322" t="s">
        <v>597</v>
      </c>
      <c r="D411" s="1323">
        <v>2950</v>
      </c>
      <c r="E411" s="1324">
        <v>0</v>
      </c>
      <c r="F411" s="1324">
        <v>0</v>
      </c>
      <c r="G411" s="1324">
        <v>0</v>
      </c>
      <c r="H411" s="981"/>
      <c r="I411" s="1324">
        <v>0</v>
      </c>
      <c r="J411" s="1324">
        <v>0</v>
      </c>
      <c r="K411" s="982"/>
      <c r="L411" s="563" t="e">
        <f t="shared" si="162"/>
        <v>#DIV/0!</v>
      </c>
    </row>
    <row r="412" spans="1:14" s="1309" customFormat="1" ht="15.75" hidden="1" thickBot="1">
      <c r="A412" s="1321"/>
      <c r="B412" s="3225" t="s">
        <v>382</v>
      </c>
      <c r="C412" s="3226"/>
      <c r="D412" s="1319"/>
      <c r="E412" s="1029">
        <f>SUM(E413:E415)</f>
        <v>0</v>
      </c>
      <c r="F412" s="1029">
        <f>SUM(F413:F415)</f>
        <v>880000</v>
      </c>
      <c r="G412" s="1029">
        <f>SUM(G413:G415)</f>
        <v>0</v>
      </c>
      <c r="H412" s="800"/>
      <c r="I412" s="1029">
        <f>SUM(I413:I415)</f>
        <v>0</v>
      </c>
      <c r="J412" s="1029">
        <f>SUM(J413:J415)</f>
        <v>0</v>
      </c>
      <c r="K412" s="801"/>
      <c r="L412" s="693">
        <f t="shared" si="162"/>
        <v>0</v>
      </c>
    </row>
    <row r="413" spans="1:14" s="1309" customFormat="1" ht="17.25" hidden="1" customHeight="1">
      <c r="A413" s="1325"/>
      <c r="B413" s="1326"/>
      <c r="C413" s="1327" t="s">
        <v>598</v>
      </c>
      <c r="D413" s="1136">
        <v>6510</v>
      </c>
      <c r="E413" s="837">
        <v>0</v>
      </c>
      <c r="F413" s="1040">
        <v>0</v>
      </c>
      <c r="G413" s="837">
        <v>0</v>
      </c>
      <c r="H413" s="666"/>
      <c r="I413" s="667"/>
      <c r="J413" s="667"/>
      <c r="K413" s="1041"/>
      <c r="L413" s="563" t="e">
        <f t="shared" si="162"/>
        <v>#DIV/0!</v>
      </c>
    </row>
    <row r="414" spans="1:14" s="1309" customFormat="1" ht="42.75" hidden="1" customHeight="1" thickBot="1">
      <c r="A414" s="1328"/>
      <c r="B414" s="1268"/>
      <c r="C414" s="1322" t="s">
        <v>599</v>
      </c>
      <c r="D414" s="1323">
        <v>6530</v>
      </c>
      <c r="E414" s="1324">
        <v>0</v>
      </c>
      <c r="F414" s="1324">
        <v>880000</v>
      </c>
      <c r="G414" s="1324">
        <v>0</v>
      </c>
      <c r="H414" s="981"/>
      <c r="I414" s="1314">
        <v>0</v>
      </c>
      <c r="J414" s="768">
        <f t="shared" ref="J414" si="165">G414+I414</f>
        <v>0</v>
      </c>
      <c r="K414" s="982"/>
      <c r="L414" s="770">
        <f t="shared" si="162"/>
        <v>0</v>
      </c>
    </row>
    <row r="415" spans="1:14" s="1309" customFormat="1" ht="6.75" hidden="1" customHeight="1" thickBot="1">
      <c r="A415" s="1328"/>
      <c r="B415" s="1268"/>
      <c r="C415" s="1329" t="s">
        <v>600</v>
      </c>
      <c r="D415" s="1330">
        <v>6699</v>
      </c>
      <c r="E415" s="1331">
        <v>0</v>
      </c>
      <c r="F415" s="1332">
        <v>0</v>
      </c>
      <c r="G415" s="1331">
        <v>0</v>
      </c>
      <c r="H415" s="1070"/>
      <c r="I415" s="1071"/>
      <c r="J415" s="1071"/>
      <c r="K415" s="1284"/>
      <c r="L415" s="772" t="e">
        <f t="shared" si="162"/>
        <v>#DIV/0!</v>
      </c>
    </row>
    <row r="416" spans="1:14" s="1309" customFormat="1" ht="4.5" hidden="1" customHeight="1" thickBot="1">
      <c r="A416" s="1325"/>
      <c r="B416" s="1333">
        <v>85119</v>
      </c>
      <c r="C416" s="1334" t="s">
        <v>601</v>
      </c>
      <c r="D416" s="1335"/>
      <c r="E416" s="1053">
        <f>E417+E418</f>
        <v>0</v>
      </c>
      <c r="F416" s="870">
        <f t="shared" ref="F416:G416" si="166">F417+F418</f>
        <v>0</v>
      </c>
      <c r="G416" s="1053">
        <f t="shared" si="166"/>
        <v>0</v>
      </c>
      <c r="H416" s="1034"/>
      <c r="I416" s="1336"/>
      <c r="J416" s="1336"/>
      <c r="K416" s="1121"/>
      <c r="L416" s="563" t="e">
        <f t="shared" si="162"/>
        <v>#DIV/0!</v>
      </c>
    </row>
    <row r="417" spans="1:12" s="1309" customFormat="1" ht="6" hidden="1" customHeight="1">
      <c r="A417" s="1325"/>
      <c r="B417" s="3278" t="s">
        <v>401</v>
      </c>
      <c r="C417" s="3301"/>
      <c r="D417" s="1337"/>
      <c r="E417" s="813">
        <v>0</v>
      </c>
      <c r="F417" s="1164">
        <v>0</v>
      </c>
      <c r="G417" s="813">
        <v>0</v>
      </c>
      <c r="H417" s="741"/>
      <c r="I417" s="1338"/>
      <c r="J417" s="1338"/>
      <c r="K417" s="742"/>
      <c r="L417" s="563" t="e">
        <f t="shared" si="162"/>
        <v>#DIV/0!</v>
      </c>
    </row>
    <row r="418" spans="1:12" s="1309" customFormat="1" ht="6" hidden="1" customHeight="1">
      <c r="A418" s="1325"/>
      <c r="B418" s="3305" t="s">
        <v>382</v>
      </c>
      <c r="C418" s="3306"/>
      <c r="D418" s="1339"/>
      <c r="E418" s="619">
        <f>E419</f>
        <v>0</v>
      </c>
      <c r="F418" s="1340">
        <f t="shared" ref="F418:G418" si="167">F419</f>
        <v>0</v>
      </c>
      <c r="G418" s="619">
        <f t="shared" si="167"/>
        <v>0</v>
      </c>
      <c r="H418" s="1000"/>
      <c r="I418" s="1341"/>
      <c r="J418" s="1341"/>
      <c r="K418" s="1169"/>
      <c r="L418" s="563" t="e">
        <f t="shared" si="162"/>
        <v>#DIV/0!</v>
      </c>
    </row>
    <row r="419" spans="1:12" s="1309" customFormat="1" ht="4.5" hidden="1" customHeight="1" thickBot="1">
      <c r="A419" s="1325"/>
      <c r="B419" s="1342"/>
      <c r="C419" s="1343" t="s">
        <v>602</v>
      </c>
      <c r="D419" s="1323">
        <v>6510</v>
      </c>
      <c r="E419" s="1324">
        <v>0</v>
      </c>
      <c r="F419" s="980">
        <v>0</v>
      </c>
      <c r="G419" s="1324">
        <v>0</v>
      </c>
      <c r="H419" s="981"/>
      <c r="I419" s="1314"/>
      <c r="J419" s="1314"/>
      <c r="K419" s="982"/>
      <c r="L419" s="563" t="e">
        <f t="shared" si="162"/>
        <v>#DIV/0!</v>
      </c>
    </row>
    <row r="420" spans="1:12" s="1345" customFormat="1" ht="4.5" hidden="1" customHeight="1" thickBot="1">
      <c r="A420" s="1325"/>
      <c r="B420" s="1162">
        <v>85120</v>
      </c>
      <c r="C420" s="1131" t="s">
        <v>603</v>
      </c>
      <c r="D420" s="1132"/>
      <c r="E420" s="615">
        <f>E421+E422</f>
        <v>0</v>
      </c>
      <c r="F420" s="1163">
        <f t="shared" ref="F420:G420" si="168">F421+F422</f>
        <v>0</v>
      </c>
      <c r="G420" s="615">
        <f t="shared" si="168"/>
        <v>0</v>
      </c>
      <c r="H420" s="781"/>
      <c r="I420" s="1344"/>
      <c r="J420" s="1344"/>
      <c r="K420" s="617"/>
      <c r="L420" s="563" t="e">
        <f t="shared" si="162"/>
        <v>#DIV/0!</v>
      </c>
    </row>
    <row r="421" spans="1:12" s="1345" customFormat="1" ht="3" hidden="1" customHeight="1">
      <c r="A421" s="1325"/>
      <c r="B421" s="3225" t="s">
        <v>401</v>
      </c>
      <c r="C421" s="3226"/>
      <c r="D421" s="1337"/>
      <c r="E421" s="813">
        <v>0</v>
      </c>
      <c r="F421" s="1164">
        <v>0</v>
      </c>
      <c r="G421" s="813">
        <v>0</v>
      </c>
      <c r="H421" s="741"/>
      <c r="I421" s="1338"/>
      <c r="J421" s="1338"/>
      <c r="K421" s="742"/>
      <c r="L421" s="563" t="e">
        <f t="shared" si="162"/>
        <v>#DIV/0!</v>
      </c>
    </row>
    <row r="422" spans="1:12" s="1345" customFormat="1" ht="8.25" hidden="1" customHeight="1">
      <c r="A422" s="1325"/>
      <c r="B422" s="3249" t="s">
        <v>382</v>
      </c>
      <c r="C422" s="3254"/>
      <c r="D422" s="1339"/>
      <c r="E422" s="619">
        <f>E423</f>
        <v>0</v>
      </c>
      <c r="F422" s="1340">
        <f t="shared" ref="F422:G422" si="169">F423</f>
        <v>0</v>
      </c>
      <c r="G422" s="619">
        <f t="shared" si="169"/>
        <v>0</v>
      </c>
      <c r="H422" s="620"/>
      <c r="I422" s="1346"/>
      <c r="J422" s="1346"/>
      <c r="K422" s="621"/>
      <c r="L422" s="563" t="e">
        <f t="shared" si="162"/>
        <v>#DIV/0!</v>
      </c>
    </row>
    <row r="423" spans="1:12" s="1345" customFormat="1" ht="8.25" hidden="1" customHeight="1" thickBot="1">
      <c r="A423" s="1325"/>
      <c r="B423" s="1326"/>
      <c r="C423" s="1327" t="s">
        <v>604</v>
      </c>
      <c r="D423" s="1155">
        <v>6660</v>
      </c>
      <c r="E423" s="1043">
        <v>0</v>
      </c>
      <c r="F423" s="1347">
        <v>0</v>
      </c>
      <c r="G423" s="1043"/>
      <c r="H423" s="1044"/>
      <c r="I423" s="1045"/>
      <c r="J423" s="1045"/>
      <c r="K423" s="1046"/>
      <c r="L423" s="549" t="e">
        <f t="shared" si="162"/>
        <v>#DIV/0!</v>
      </c>
    </row>
    <row r="424" spans="1:12" s="1345" customFormat="1" ht="15.75" thickBot="1">
      <c r="A424" s="1325"/>
      <c r="B424" s="1162">
        <v>85141</v>
      </c>
      <c r="C424" s="1131" t="s">
        <v>25</v>
      </c>
      <c r="D424" s="1132"/>
      <c r="E424" s="615">
        <f t="shared" ref="E424:G424" si="170">SUM(E425,E426)</f>
        <v>0</v>
      </c>
      <c r="F424" s="615">
        <f t="shared" si="170"/>
        <v>250000</v>
      </c>
      <c r="G424" s="615">
        <f t="shared" si="170"/>
        <v>0</v>
      </c>
      <c r="H424" s="781"/>
      <c r="I424" s="615">
        <f t="shared" ref="I424:J424" si="171">SUM(I425,I426)</f>
        <v>150000</v>
      </c>
      <c r="J424" s="615">
        <f t="shared" si="171"/>
        <v>150000</v>
      </c>
      <c r="K424" s="617"/>
      <c r="L424" s="553">
        <f t="shared" si="162"/>
        <v>0.6</v>
      </c>
    </row>
    <row r="425" spans="1:12" s="1214" customFormat="1">
      <c r="A425" s="1325"/>
      <c r="B425" s="3242" t="s">
        <v>401</v>
      </c>
      <c r="C425" s="3304"/>
      <c r="D425" s="1171"/>
      <c r="E425" s="1029">
        <v>0</v>
      </c>
      <c r="F425" s="1029">
        <v>0</v>
      </c>
      <c r="G425" s="1029">
        <v>0</v>
      </c>
      <c r="H425" s="800"/>
      <c r="I425" s="1029">
        <v>0</v>
      </c>
      <c r="J425" s="1029">
        <v>0</v>
      </c>
      <c r="K425" s="801"/>
      <c r="L425" s="1102"/>
    </row>
    <row r="426" spans="1:12" ht="12.75" customHeight="1">
      <c r="A426" s="1325"/>
      <c r="B426" s="3249" t="s">
        <v>382</v>
      </c>
      <c r="C426" s="3254"/>
      <c r="D426" s="1348"/>
      <c r="E426" s="619">
        <f>SUM(E427:E428)</f>
        <v>0</v>
      </c>
      <c r="F426" s="619">
        <f>SUM(F427:F428)</f>
        <v>250000</v>
      </c>
      <c r="G426" s="619">
        <f>SUM(G427:G428)</f>
        <v>0</v>
      </c>
      <c r="H426" s="620"/>
      <c r="I426" s="619">
        <f>SUM(I427:I428)</f>
        <v>150000</v>
      </c>
      <c r="J426" s="619">
        <f>SUM(J427:J428)</f>
        <v>150000</v>
      </c>
      <c r="K426" s="621"/>
      <c r="L426" s="693">
        <f t="shared" si="162"/>
        <v>0.6</v>
      </c>
    </row>
    <row r="427" spans="1:12" ht="38.25" hidden="1" customHeight="1">
      <c r="A427" s="1325"/>
      <c r="B427" s="3227"/>
      <c r="C427" s="1283" t="s">
        <v>605</v>
      </c>
      <c r="D427" s="861">
        <v>6300</v>
      </c>
      <c r="E427" s="816">
        <v>0</v>
      </c>
      <c r="F427" s="816">
        <v>250000</v>
      </c>
      <c r="G427" s="816">
        <v>0</v>
      </c>
      <c r="H427" s="629"/>
      <c r="I427" s="647">
        <v>0</v>
      </c>
      <c r="J427" s="647">
        <f t="shared" ref="J427:J428" si="172">G427+I427</f>
        <v>0</v>
      </c>
      <c r="K427" s="603"/>
      <c r="L427" s="533">
        <f t="shared" si="162"/>
        <v>0</v>
      </c>
    </row>
    <row r="428" spans="1:12" ht="53.25" customHeight="1" thickBot="1">
      <c r="A428" s="1325"/>
      <c r="B428" s="3288"/>
      <c r="C428" s="1349" t="s">
        <v>606</v>
      </c>
      <c r="D428" s="858">
        <v>6510</v>
      </c>
      <c r="E428" s="628">
        <v>0</v>
      </c>
      <c r="F428" s="628">
        <v>0</v>
      </c>
      <c r="G428" s="628">
        <v>0</v>
      </c>
      <c r="H428" s="754"/>
      <c r="I428" s="755">
        <v>150000</v>
      </c>
      <c r="J428" s="647">
        <f t="shared" si="172"/>
        <v>150000</v>
      </c>
      <c r="K428" s="757"/>
      <c r="L428" s="533"/>
    </row>
    <row r="429" spans="1:12" ht="44.25" hidden="1" customHeight="1" thickBot="1">
      <c r="A429" s="1325"/>
      <c r="B429" s="1333">
        <v>85148</v>
      </c>
      <c r="C429" s="1097" t="s">
        <v>607</v>
      </c>
      <c r="D429" s="1098"/>
      <c r="E429" s="1110">
        <f>E430+E431</f>
        <v>0</v>
      </c>
      <c r="F429" s="1110">
        <f>F430+F431</f>
        <v>0</v>
      </c>
      <c r="G429" s="1110">
        <f>G430+G431</f>
        <v>0</v>
      </c>
      <c r="H429" s="616" t="e">
        <f t="shared" si="154"/>
        <v>#DIV/0!</v>
      </c>
      <c r="I429" s="1350"/>
      <c r="J429" s="1350"/>
      <c r="K429" s="738"/>
      <c r="L429" s="563" t="e">
        <f t="shared" si="162"/>
        <v>#DIV/0!</v>
      </c>
    </row>
    <row r="430" spans="1:12" ht="15.75" hidden="1" customHeight="1">
      <c r="A430" s="1325"/>
      <c r="B430" s="3225" t="s">
        <v>338</v>
      </c>
      <c r="C430" s="3226"/>
      <c r="D430" s="1337"/>
      <c r="E430" s="956">
        <v>0</v>
      </c>
      <c r="F430" s="956">
        <v>0</v>
      </c>
      <c r="G430" s="956">
        <v>0</v>
      </c>
      <c r="H430" s="800" t="e">
        <f t="shared" si="154"/>
        <v>#DIV/0!</v>
      </c>
      <c r="I430" s="1351"/>
      <c r="J430" s="1351"/>
      <c r="K430" s="801"/>
      <c r="L430" s="563" t="e">
        <f t="shared" si="162"/>
        <v>#DIV/0!</v>
      </c>
    </row>
    <row r="431" spans="1:12" s="1214" customFormat="1" ht="15.75" hidden="1" thickBot="1">
      <c r="A431" s="1325"/>
      <c r="B431" s="3249" t="s">
        <v>343</v>
      </c>
      <c r="C431" s="3254"/>
      <c r="D431" s="1339"/>
      <c r="E431" s="1340">
        <f>E432</f>
        <v>0</v>
      </c>
      <c r="F431" s="1340">
        <f t="shared" ref="F431:G431" si="173">F432</f>
        <v>0</v>
      </c>
      <c r="G431" s="1340">
        <f t="shared" si="173"/>
        <v>0</v>
      </c>
      <c r="H431" s="620" t="e">
        <f t="shared" si="154"/>
        <v>#DIV/0!</v>
      </c>
      <c r="I431" s="1346"/>
      <c r="J431" s="1346"/>
      <c r="K431" s="621"/>
      <c r="L431" s="563" t="e">
        <f t="shared" si="162"/>
        <v>#DIV/0!</v>
      </c>
    </row>
    <row r="432" spans="1:12" ht="12.75" hidden="1" customHeight="1" thickBot="1">
      <c r="A432" s="1325"/>
      <c r="B432" s="1352"/>
      <c r="C432" s="1353" t="s">
        <v>604</v>
      </c>
      <c r="D432" s="1354">
        <v>6690</v>
      </c>
      <c r="E432" s="594">
        <v>0</v>
      </c>
      <c r="F432" s="594">
        <v>0</v>
      </c>
      <c r="G432" s="594">
        <v>0</v>
      </c>
      <c r="H432" s="754" t="e">
        <f t="shared" si="154"/>
        <v>#DIV/0!</v>
      </c>
      <c r="I432" s="755"/>
      <c r="J432" s="755"/>
      <c r="K432" s="757"/>
      <c r="L432" s="563" t="e">
        <f t="shared" si="162"/>
        <v>#DIV/0!</v>
      </c>
    </row>
    <row r="433" spans="1:12" ht="56.25" hidden="1" customHeight="1" thickBot="1">
      <c r="A433" s="1325"/>
      <c r="B433" s="1333">
        <v>85153</v>
      </c>
      <c r="C433" s="1334" t="s">
        <v>608</v>
      </c>
      <c r="D433" s="1098"/>
      <c r="E433" s="1110">
        <f>SUM(E434,E437)</f>
        <v>0</v>
      </c>
      <c r="F433" s="1110">
        <f>F434+F437</f>
        <v>0</v>
      </c>
      <c r="G433" s="1110">
        <f>G434+G437</f>
        <v>0</v>
      </c>
      <c r="H433" s="616" t="e">
        <f t="shared" si="154"/>
        <v>#DIV/0!</v>
      </c>
      <c r="I433" s="1350"/>
      <c r="J433" s="1350"/>
      <c r="K433" s="738"/>
      <c r="L433" s="563" t="e">
        <f t="shared" si="162"/>
        <v>#DIV/0!</v>
      </c>
    </row>
    <row r="434" spans="1:12" ht="43.5" hidden="1" customHeight="1">
      <c r="A434" s="1325"/>
      <c r="B434" s="3278" t="s">
        <v>338</v>
      </c>
      <c r="C434" s="3301"/>
      <c r="D434" s="1337"/>
      <c r="E434" s="956">
        <f>SUM(E435:E436)</f>
        <v>0</v>
      </c>
      <c r="F434" s="956">
        <f t="shared" ref="F434:G434" si="174">SUM(F435:F436)</f>
        <v>0</v>
      </c>
      <c r="G434" s="956">
        <f t="shared" si="174"/>
        <v>0</v>
      </c>
      <c r="H434" s="800" t="e">
        <f t="shared" si="154"/>
        <v>#DIV/0!</v>
      </c>
      <c r="I434" s="1351"/>
      <c r="J434" s="1351"/>
      <c r="K434" s="801"/>
      <c r="L434" s="563" t="e">
        <f t="shared" si="162"/>
        <v>#DIV/0!</v>
      </c>
    </row>
    <row r="435" spans="1:12" ht="15.75" hidden="1" customHeight="1">
      <c r="A435" s="1325"/>
      <c r="B435" s="3302"/>
      <c r="C435" s="1355" t="s">
        <v>609</v>
      </c>
      <c r="D435" s="1301" t="s">
        <v>378</v>
      </c>
      <c r="E435" s="600">
        <v>0</v>
      </c>
      <c r="F435" s="600">
        <v>0</v>
      </c>
      <c r="G435" s="600">
        <v>0</v>
      </c>
      <c r="H435" s="629" t="e">
        <f t="shared" si="154"/>
        <v>#DIV/0!</v>
      </c>
      <c r="I435" s="647"/>
      <c r="J435" s="647"/>
      <c r="K435" s="603"/>
      <c r="L435" s="563" t="e">
        <f t="shared" si="162"/>
        <v>#DIV/0!</v>
      </c>
    </row>
    <row r="436" spans="1:12" s="1358" customFormat="1" ht="39" hidden="1" thickBot="1">
      <c r="A436" s="1325"/>
      <c r="B436" s="3303"/>
      <c r="C436" s="1356" t="s">
        <v>610</v>
      </c>
      <c r="D436" s="1357">
        <v>2910</v>
      </c>
      <c r="E436" s="1018">
        <v>0</v>
      </c>
      <c r="F436" s="1018">
        <v>0</v>
      </c>
      <c r="G436" s="1018">
        <v>0</v>
      </c>
      <c r="H436" s="761" t="e">
        <f t="shared" si="154"/>
        <v>#DIV/0!</v>
      </c>
      <c r="I436" s="762"/>
      <c r="J436" s="762"/>
      <c r="K436" s="636"/>
      <c r="L436" s="563" t="e">
        <f t="shared" si="162"/>
        <v>#DIV/0!</v>
      </c>
    </row>
    <row r="437" spans="1:12" s="564" customFormat="1" ht="12.75" hidden="1" customHeight="1" thickBot="1">
      <c r="A437" s="1328"/>
      <c r="B437" s="3230" t="s">
        <v>343</v>
      </c>
      <c r="C437" s="3231"/>
      <c r="D437" s="1137"/>
      <c r="E437" s="879">
        <v>0</v>
      </c>
      <c r="F437" s="879">
        <v>0</v>
      </c>
      <c r="G437" s="879">
        <f t="shared" ref="G437" si="175">E437+F437</f>
        <v>0</v>
      </c>
      <c r="H437" s="797" t="e">
        <f t="shared" si="154"/>
        <v>#DIV/0!</v>
      </c>
      <c r="I437" s="1156"/>
      <c r="J437" s="1156"/>
      <c r="K437" s="798"/>
      <c r="L437" s="563" t="e">
        <f t="shared" si="162"/>
        <v>#DIV/0!</v>
      </c>
    </row>
    <row r="438" spans="1:12" s="564" customFormat="1" ht="42" hidden="1" customHeight="1" thickBot="1">
      <c r="A438" s="1359"/>
      <c r="B438" s="1162">
        <v>85154</v>
      </c>
      <c r="C438" s="1131" t="s">
        <v>611</v>
      </c>
      <c r="D438" s="1098"/>
      <c r="E438" s="1110">
        <f>SUM(E439,E442)</f>
        <v>0</v>
      </c>
      <c r="F438" s="1110">
        <f>F439+F442</f>
        <v>0</v>
      </c>
      <c r="G438" s="1110">
        <f>G439+G442</f>
        <v>0</v>
      </c>
      <c r="H438" s="616" t="e">
        <f t="shared" si="154"/>
        <v>#DIV/0!</v>
      </c>
      <c r="I438" s="1350"/>
      <c r="J438" s="1350"/>
      <c r="K438" s="738"/>
      <c r="L438" s="563" t="e">
        <f t="shared" si="162"/>
        <v>#DIV/0!</v>
      </c>
    </row>
    <row r="439" spans="1:12" s="564" customFormat="1" ht="15.75" hidden="1" customHeight="1">
      <c r="A439" s="1325"/>
      <c r="B439" s="3225" t="s">
        <v>338</v>
      </c>
      <c r="C439" s="3226"/>
      <c r="D439" s="1337"/>
      <c r="E439" s="956">
        <f>SUM(E440:E441)</f>
        <v>0</v>
      </c>
      <c r="F439" s="956">
        <f t="shared" ref="F439:G439" si="176">SUM(F440:F441)</f>
        <v>0</v>
      </c>
      <c r="G439" s="956">
        <f t="shared" si="176"/>
        <v>0</v>
      </c>
      <c r="H439" s="800" t="e">
        <f t="shared" si="154"/>
        <v>#DIV/0!</v>
      </c>
      <c r="I439" s="1351"/>
      <c r="J439" s="1351"/>
      <c r="K439" s="801"/>
      <c r="L439" s="563" t="e">
        <f t="shared" si="162"/>
        <v>#DIV/0!</v>
      </c>
    </row>
    <row r="440" spans="1:12" s="1358" customFormat="1" ht="51.75" hidden="1" thickBot="1">
      <c r="A440" s="1325"/>
      <c r="B440" s="3302"/>
      <c r="C440" s="1355" t="s">
        <v>612</v>
      </c>
      <c r="D440" s="1301" t="s">
        <v>378</v>
      </c>
      <c r="E440" s="600">
        <v>0</v>
      </c>
      <c r="F440" s="600">
        <v>0</v>
      </c>
      <c r="G440" s="600">
        <v>0</v>
      </c>
      <c r="H440" s="629" t="e">
        <f t="shared" si="154"/>
        <v>#DIV/0!</v>
      </c>
      <c r="I440" s="647"/>
      <c r="J440" s="647"/>
      <c r="K440" s="603"/>
      <c r="L440" s="563" t="e">
        <f t="shared" si="162"/>
        <v>#DIV/0!</v>
      </c>
    </row>
    <row r="441" spans="1:12" s="564" customFormat="1" ht="12.75" hidden="1" customHeight="1">
      <c r="A441" s="1325"/>
      <c r="B441" s="3303"/>
      <c r="C441" s="1356" t="s">
        <v>613</v>
      </c>
      <c r="D441" s="1357">
        <v>2910</v>
      </c>
      <c r="E441" s="1018">
        <v>0</v>
      </c>
      <c r="F441" s="1018">
        <v>0</v>
      </c>
      <c r="G441" s="1018">
        <v>0</v>
      </c>
      <c r="H441" s="761" t="e">
        <f t="shared" si="154"/>
        <v>#DIV/0!</v>
      </c>
      <c r="I441" s="762"/>
      <c r="J441" s="762"/>
      <c r="K441" s="636"/>
      <c r="L441" s="563" t="e">
        <f t="shared" si="162"/>
        <v>#DIV/0!</v>
      </c>
    </row>
    <row r="442" spans="1:12" s="564" customFormat="1" ht="5.25" hidden="1" customHeight="1" thickBot="1">
      <c r="A442" s="1325"/>
      <c r="B442" s="3230" t="s">
        <v>343</v>
      </c>
      <c r="C442" s="3231"/>
      <c r="D442" s="1137"/>
      <c r="E442" s="879">
        <v>0</v>
      </c>
      <c r="F442" s="879">
        <v>0</v>
      </c>
      <c r="G442" s="879">
        <f t="shared" ref="G442" si="177">E442+F442</f>
        <v>0</v>
      </c>
      <c r="H442" s="797" t="e">
        <f t="shared" si="154"/>
        <v>#DIV/0!</v>
      </c>
      <c r="I442" s="1156"/>
      <c r="J442" s="1156"/>
      <c r="K442" s="798"/>
      <c r="L442" s="549" t="e">
        <f t="shared" si="162"/>
        <v>#DIV/0!</v>
      </c>
    </row>
    <row r="443" spans="1:12" s="564" customFormat="1" ht="27" customHeight="1" thickBot="1">
      <c r="A443" s="1325"/>
      <c r="B443" s="1157">
        <v>85156</v>
      </c>
      <c r="C443" s="1158" t="s">
        <v>26</v>
      </c>
      <c r="D443" s="1132"/>
      <c r="E443" s="518">
        <f>SUM(E444,E446)</f>
        <v>25000</v>
      </c>
      <c r="F443" s="518">
        <f>F444+F446</f>
        <v>15000</v>
      </c>
      <c r="G443" s="812">
        <f>G444+G446</f>
        <v>0</v>
      </c>
      <c r="H443" s="616">
        <f t="shared" si="154"/>
        <v>0</v>
      </c>
      <c r="I443" s="812">
        <f>I444+I446</f>
        <v>10000</v>
      </c>
      <c r="J443" s="812">
        <f>J444+J446</f>
        <v>10000</v>
      </c>
      <c r="K443" s="738"/>
      <c r="L443" s="553">
        <f t="shared" si="162"/>
        <v>0.66666666666666663</v>
      </c>
    </row>
    <row r="444" spans="1:12" s="1212" customFormat="1">
      <c r="A444" s="1325"/>
      <c r="B444" s="3225" t="s">
        <v>338</v>
      </c>
      <c r="C444" s="3226"/>
      <c r="D444" s="1337"/>
      <c r="E444" s="524">
        <f t="shared" ref="E444" si="178">SUM(E445)</f>
        <v>25000</v>
      </c>
      <c r="F444" s="524">
        <f>F445</f>
        <v>15000</v>
      </c>
      <c r="G444" s="1029">
        <f>G445</f>
        <v>0</v>
      </c>
      <c r="H444" s="800">
        <f t="shared" si="154"/>
        <v>0</v>
      </c>
      <c r="I444" s="1029">
        <f>I445</f>
        <v>10000</v>
      </c>
      <c r="J444" s="1029">
        <f>J445</f>
        <v>10000</v>
      </c>
      <c r="K444" s="801"/>
      <c r="L444" s="556">
        <f t="shared" si="162"/>
        <v>0.66666666666666663</v>
      </c>
    </row>
    <row r="445" spans="1:12" s="1212" customFormat="1" ht="38.25">
      <c r="A445" s="1325"/>
      <c r="B445" s="1360"/>
      <c r="C445" s="1361" t="s">
        <v>363</v>
      </c>
      <c r="D445" s="1136">
        <v>2210</v>
      </c>
      <c r="E445" s="535">
        <v>25000</v>
      </c>
      <c r="F445" s="535">
        <v>15000</v>
      </c>
      <c r="G445" s="816">
        <v>0</v>
      </c>
      <c r="H445" s="629">
        <f t="shared" si="154"/>
        <v>0</v>
      </c>
      <c r="I445" s="647">
        <v>10000</v>
      </c>
      <c r="J445" s="647">
        <f t="shared" ref="J445" si="179">G445+I445</f>
        <v>10000</v>
      </c>
      <c r="K445" s="603"/>
      <c r="L445" s="533">
        <f t="shared" si="162"/>
        <v>0.66666666666666663</v>
      </c>
    </row>
    <row r="446" spans="1:12" s="1212" customFormat="1" ht="15.75" thickBot="1">
      <c r="A446" s="1325"/>
      <c r="B446" s="3230" t="s">
        <v>343</v>
      </c>
      <c r="C446" s="3231"/>
      <c r="D446" s="1137"/>
      <c r="E446" s="573">
        <v>0</v>
      </c>
      <c r="F446" s="573">
        <v>0</v>
      </c>
      <c r="G446" s="637">
        <f t="shared" ref="G446:J464" si="180">E446+F446</f>
        <v>0</v>
      </c>
      <c r="H446" s="797"/>
      <c r="I446" s="637">
        <f t="shared" si="180"/>
        <v>0</v>
      </c>
      <c r="J446" s="637">
        <f t="shared" si="180"/>
        <v>0</v>
      </c>
      <c r="K446" s="798"/>
      <c r="L446" s="576"/>
    </row>
    <row r="447" spans="1:12" s="1212" customFormat="1" ht="15.75" customHeight="1" thickBot="1">
      <c r="A447" s="1325"/>
      <c r="B447" s="1157">
        <v>85157</v>
      </c>
      <c r="C447" s="1158" t="s">
        <v>614</v>
      </c>
      <c r="D447" s="1132"/>
      <c r="E447" s="812">
        <f>SUM(E448,E450)</f>
        <v>0</v>
      </c>
      <c r="F447" s="812">
        <f>F448+F450</f>
        <v>13233753</v>
      </c>
      <c r="G447" s="812">
        <f>G448+G450</f>
        <v>19736691</v>
      </c>
      <c r="H447" s="616"/>
      <c r="I447" s="812">
        <f>I448+I450</f>
        <v>0</v>
      </c>
      <c r="J447" s="812">
        <f>J448+J450</f>
        <v>19736691</v>
      </c>
      <c r="K447" s="738"/>
      <c r="L447" s="553">
        <f t="shared" si="162"/>
        <v>1.4913903108211253</v>
      </c>
    </row>
    <row r="448" spans="1:12" s="1212" customFormat="1">
      <c r="A448" s="1325"/>
      <c r="B448" s="3225" t="s">
        <v>338</v>
      </c>
      <c r="C448" s="3226"/>
      <c r="D448" s="1337"/>
      <c r="E448" s="1029">
        <f t="shared" ref="E448" si="181">SUM(E449)</f>
        <v>0</v>
      </c>
      <c r="F448" s="1029">
        <f>F449</f>
        <v>13233753</v>
      </c>
      <c r="G448" s="1029">
        <f>G449</f>
        <v>19736691</v>
      </c>
      <c r="H448" s="800"/>
      <c r="I448" s="1029">
        <f>I449</f>
        <v>0</v>
      </c>
      <c r="J448" s="1029">
        <f>J449</f>
        <v>19736691</v>
      </c>
      <c r="K448" s="801"/>
      <c r="L448" s="556">
        <f t="shared" si="162"/>
        <v>1.4913903108211253</v>
      </c>
    </row>
    <row r="449" spans="1:12" s="1212" customFormat="1" ht="39" customHeight="1">
      <c r="A449" s="1325"/>
      <c r="B449" s="1360"/>
      <c r="C449" s="1361" t="s">
        <v>363</v>
      </c>
      <c r="D449" s="1136">
        <v>2210</v>
      </c>
      <c r="E449" s="816">
        <v>0</v>
      </c>
      <c r="F449" s="816">
        <v>13233753</v>
      </c>
      <c r="G449" s="816">
        <v>19736691</v>
      </c>
      <c r="H449" s="629"/>
      <c r="I449" s="647">
        <v>0</v>
      </c>
      <c r="J449" s="647">
        <f t="shared" ref="J449" si="182">G449+I449</f>
        <v>19736691</v>
      </c>
      <c r="K449" s="1362" t="s">
        <v>615</v>
      </c>
      <c r="L449" s="533">
        <f t="shared" si="162"/>
        <v>1.4913903108211253</v>
      </c>
    </row>
    <row r="450" spans="1:12" s="1212" customFormat="1" ht="15" customHeight="1" thickBot="1">
      <c r="A450" s="1325"/>
      <c r="B450" s="3230" t="s">
        <v>343</v>
      </c>
      <c r="C450" s="3231"/>
      <c r="D450" s="1137"/>
      <c r="E450" s="637">
        <v>0</v>
      </c>
      <c r="F450" s="637">
        <v>0</v>
      </c>
      <c r="G450" s="637">
        <f t="shared" ref="G450:J450" si="183">E450+F450</f>
        <v>0</v>
      </c>
      <c r="H450" s="797"/>
      <c r="I450" s="637">
        <f t="shared" si="183"/>
        <v>0</v>
      </c>
      <c r="J450" s="637">
        <f t="shared" si="183"/>
        <v>0</v>
      </c>
      <c r="K450" s="798"/>
      <c r="L450" s="576"/>
    </row>
    <row r="451" spans="1:12" ht="16.5" customHeight="1" thickBot="1">
      <c r="A451" s="1325"/>
      <c r="B451" s="1130">
        <v>85195</v>
      </c>
      <c r="C451" s="1131" t="s">
        <v>11</v>
      </c>
      <c r="D451" s="1132"/>
      <c r="E451" s="812">
        <f>SUM(E452,E457)</f>
        <v>30000</v>
      </c>
      <c r="F451" s="812">
        <f>F452+F457</f>
        <v>114247</v>
      </c>
      <c r="G451" s="812">
        <f>G452+G457</f>
        <v>30000</v>
      </c>
      <c r="H451" s="616">
        <f t="shared" si="154"/>
        <v>1</v>
      </c>
      <c r="I451" s="812">
        <f>I452+I457</f>
        <v>0</v>
      </c>
      <c r="J451" s="812">
        <f>J452+J457</f>
        <v>30000</v>
      </c>
      <c r="K451" s="738"/>
      <c r="L451" s="553">
        <f t="shared" si="162"/>
        <v>0.26258895200749255</v>
      </c>
    </row>
    <row r="452" spans="1:12" s="550" customFormat="1" ht="15.75" customHeight="1">
      <c r="A452" s="1325"/>
      <c r="B452" s="3225" t="s">
        <v>338</v>
      </c>
      <c r="C452" s="3226"/>
      <c r="D452" s="1100"/>
      <c r="E452" s="1029">
        <f>SUM(E453:E456)</f>
        <v>30000</v>
      </c>
      <c r="F452" s="1029">
        <f t="shared" ref="F452:G452" si="184">SUM(F453:F456)</f>
        <v>82117</v>
      </c>
      <c r="G452" s="1363">
        <f t="shared" si="184"/>
        <v>30000</v>
      </c>
      <c r="H452" s="800">
        <f t="shared" si="154"/>
        <v>1</v>
      </c>
      <c r="I452" s="1363">
        <f t="shared" ref="I452:J452" si="185">SUM(I453:I456)</f>
        <v>0</v>
      </c>
      <c r="J452" s="1029">
        <f t="shared" si="185"/>
        <v>30000</v>
      </c>
      <c r="K452" s="801"/>
      <c r="L452" s="556">
        <f t="shared" si="162"/>
        <v>0.36533239158761277</v>
      </c>
    </row>
    <row r="453" spans="1:12" s="550" customFormat="1" ht="16.5" hidden="1" customHeight="1">
      <c r="A453" s="1325"/>
      <c r="B453" s="1364"/>
      <c r="C453" s="1365"/>
      <c r="D453" s="1366"/>
      <c r="E453" s="816">
        <v>0</v>
      </c>
      <c r="F453" s="600">
        <v>0</v>
      </c>
      <c r="G453" s="1367"/>
      <c r="H453" s="629" t="e">
        <f t="shared" ref="H453:H513" si="186">G453/E453</f>
        <v>#DIV/0!</v>
      </c>
      <c r="I453" s="647"/>
      <c r="J453" s="647"/>
      <c r="K453" s="603"/>
      <c r="L453" s="563" t="e">
        <f t="shared" si="162"/>
        <v>#DIV/0!</v>
      </c>
    </row>
    <row r="454" spans="1:12" s="550" customFormat="1" ht="41.25" hidden="1" customHeight="1">
      <c r="A454" s="1325"/>
      <c r="B454" s="1368"/>
      <c r="C454" s="1369" t="s">
        <v>616</v>
      </c>
      <c r="D454" s="1104">
        <v>2170</v>
      </c>
      <c r="E454" s="816">
        <v>0</v>
      </c>
      <c r="F454" s="816">
        <v>4859</v>
      </c>
      <c r="G454" s="1370">
        <v>0</v>
      </c>
      <c r="H454" s="629"/>
      <c r="I454" s="647">
        <v>0</v>
      </c>
      <c r="J454" s="647">
        <f t="shared" ref="J454:J458" si="187">G454+I454</f>
        <v>0</v>
      </c>
      <c r="K454" s="603"/>
      <c r="L454" s="533">
        <f t="shared" si="162"/>
        <v>0</v>
      </c>
    </row>
    <row r="455" spans="1:12" ht="39" customHeight="1" thickBot="1">
      <c r="A455" s="1325"/>
      <c r="B455" s="1371"/>
      <c r="C455" s="1372" t="s">
        <v>363</v>
      </c>
      <c r="D455" s="1323">
        <v>2210</v>
      </c>
      <c r="E455" s="790">
        <v>30000</v>
      </c>
      <c r="F455" s="790">
        <v>58800</v>
      </c>
      <c r="G455" s="1373">
        <v>30000</v>
      </c>
      <c r="H455" s="767">
        <f t="shared" si="186"/>
        <v>1</v>
      </c>
      <c r="I455" s="768">
        <v>0</v>
      </c>
      <c r="J455" s="768">
        <f t="shared" si="187"/>
        <v>30000</v>
      </c>
      <c r="K455" s="769"/>
      <c r="L455" s="770">
        <f t="shared" si="162"/>
        <v>0.51020408163265307</v>
      </c>
    </row>
    <row r="456" spans="1:12" ht="39.75" hidden="1" customHeight="1">
      <c r="A456" s="1325"/>
      <c r="B456" s="1374"/>
      <c r="C456" s="1375" t="s">
        <v>617</v>
      </c>
      <c r="D456" s="1376">
        <v>2957</v>
      </c>
      <c r="E456" s="1377">
        <v>0</v>
      </c>
      <c r="F456" s="1377">
        <v>18458</v>
      </c>
      <c r="G456" s="1378">
        <v>0</v>
      </c>
      <c r="H456" s="1379"/>
      <c r="I456" s="1380">
        <v>0</v>
      </c>
      <c r="J456" s="1380">
        <f t="shared" si="187"/>
        <v>0</v>
      </c>
      <c r="K456" s="901"/>
      <c r="L456" s="1075">
        <f t="shared" si="162"/>
        <v>0</v>
      </c>
    </row>
    <row r="457" spans="1:12" ht="16.5" customHeight="1" thickBot="1">
      <c r="A457" s="1325"/>
      <c r="B457" s="3234" t="s">
        <v>343</v>
      </c>
      <c r="C457" s="3235"/>
      <c r="D457" s="1381"/>
      <c r="E457" s="824">
        <f>E458</f>
        <v>0</v>
      </c>
      <c r="F457" s="824">
        <f t="shared" ref="F457:J457" si="188">F458</f>
        <v>32130</v>
      </c>
      <c r="G457" s="1382">
        <f t="shared" si="188"/>
        <v>0</v>
      </c>
      <c r="H457" s="921"/>
      <c r="I457" s="1382">
        <f t="shared" si="188"/>
        <v>0</v>
      </c>
      <c r="J457" s="824">
        <f t="shared" si="188"/>
        <v>0</v>
      </c>
      <c r="K457" s="829"/>
      <c r="L457" s="556">
        <f t="shared" si="162"/>
        <v>0</v>
      </c>
    </row>
    <row r="458" spans="1:12" ht="42" hidden="1" customHeight="1" thickBot="1">
      <c r="A458" s="1328"/>
      <c r="B458" s="1383"/>
      <c r="C458" s="1372" t="s">
        <v>617</v>
      </c>
      <c r="D458" s="1330">
        <v>6697</v>
      </c>
      <c r="E458" s="778">
        <v>0</v>
      </c>
      <c r="F458" s="778">
        <v>32130</v>
      </c>
      <c r="G458" s="1384">
        <v>0</v>
      </c>
      <c r="H458" s="767"/>
      <c r="I458" s="768">
        <v>0</v>
      </c>
      <c r="J458" s="647">
        <f t="shared" si="187"/>
        <v>0</v>
      </c>
      <c r="K458" s="769"/>
      <c r="L458" s="780">
        <f t="shared" si="162"/>
        <v>0</v>
      </c>
    </row>
    <row r="459" spans="1:12" ht="16.5" customHeight="1" thickBot="1">
      <c r="A459" s="1124">
        <v>852</v>
      </c>
      <c r="B459" s="1125"/>
      <c r="C459" s="1126" t="s">
        <v>618</v>
      </c>
      <c r="D459" s="1093"/>
      <c r="E459" s="731">
        <f>SUM(E460,E465,E476)</f>
        <v>2056178</v>
      </c>
      <c r="F459" s="731">
        <f>SUM(F460,F465,F476)</f>
        <v>2496298</v>
      </c>
      <c r="G459" s="731">
        <f>SUM(G460,G465,G476)</f>
        <v>346219</v>
      </c>
      <c r="H459" s="1385">
        <f t="shared" si="186"/>
        <v>0.16837987761759926</v>
      </c>
      <c r="I459" s="731">
        <f>SUM(I460,I465,I476)</f>
        <v>3382342</v>
      </c>
      <c r="J459" s="731">
        <f>SUM(J460,J465,J476)</f>
        <v>3728561</v>
      </c>
      <c r="K459" s="1386"/>
      <c r="L459" s="643">
        <f t="shared" ref="L459:L522" si="189">J459/F459</f>
        <v>1.4936361764500874</v>
      </c>
    </row>
    <row r="460" spans="1:12" ht="15.75" customHeight="1" thickBot="1">
      <c r="A460" s="1387"/>
      <c r="B460" s="1130">
        <v>85205</v>
      </c>
      <c r="C460" s="1131" t="s">
        <v>619</v>
      </c>
      <c r="D460" s="1098"/>
      <c r="E460" s="518">
        <f>E461+E464</f>
        <v>100000</v>
      </c>
      <c r="F460" s="518">
        <f>F461+F464</f>
        <v>100000</v>
      </c>
      <c r="G460" s="518">
        <f>G461+G464</f>
        <v>0</v>
      </c>
      <c r="H460" s="616">
        <f t="shared" si="186"/>
        <v>0</v>
      </c>
      <c r="I460" s="518">
        <f>I461+I464</f>
        <v>100000</v>
      </c>
      <c r="J460" s="518">
        <f>J461+J464</f>
        <v>100000</v>
      </c>
      <c r="K460" s="552"/>
      <c r="L460" s="553">
        <f t="shared" si="189"/>
        <v>1</v>
      </c>
    </row>
    <row r="461" spans="1:12">
      <c r="A461" s="1387"/>
      <c r="B461" s="3296" t="s">
        <v>338</v>
      </c>
      <c r="C461" s="3224"/>
      <c r="D461" s="1238"/>
      <c r="E461" s="524">
        <f>SUM(E462,E463)</f>
        <v>100000</v>
      </c>
      <c r="F461" s="524">
        <f t="shared" ref="F461:G461" si="190">SUM(F462,F463)</f>
        <v>100000</v>
      </c>
      <c r="G461" s="524">
        <f t="shared" si="190"/>
        <v>0</v>
      </c>
      <c r="H461" s="800">
        <f t="shared" si="186"/>
        <v>0</v>
      </c>
      <c r="I461" s="524">
        <f t="shared" ref="I461:J461" si="191">SUM(I462,I463)</f>
        <v>100000</v>
      </c>
      <c r="J461" s="524">
        <f t="shared" si="191"/>
        <v>100000</v>
      </c>
      <c r="K461" s="931"/>
      <c r="L461" s="556">
        <f t="shared" si="189"/>
        <v>1</v>
      </c>
    </row>
    <row r="462" spans="1:12" ht="26.25" customHeight="1">
      <c r="A462" s="1325"/>
      <c r="B462" s="1388"/>
      <c r="C462" s="1369" t="s">
        <v>620</v>
      </c>
      <c r="D462" s="1389">
        <v>2230</v>
      </c>
      <c r="E462" s="535">
        <v>100000</v>
      </c>
      <c r="F462" s="535">
        <v>100000</v>
      </c>
      <c r="G462" s="535">
        <v>0</v>
      </c>
      <c r="H462" s="629">
        <f t="shared" si="186"/>
        <v>0</v>
      </c>
      <c r="I462" s="647">
        <v>100000</v>
      </c>
      <c r="J462" s="647">
        <f t="shared" ref="J462" si="192">G462+I462</f>
        <v>100000</v>
      </c>
      <c r="K462" s="532"/>
      <c r="L462" s="533">
        <f t="shared" si="189"/>
        <v>1</v>
      </c>
    </row>
    <row r="463" spans="1:12" ht="51" hidden="1">
      <c r="A463" s="1325"/>
      <c r="B463" s="1388"/>
      <c r="C463" s="1369" t="s">
        <v>621</v>
      </c>
      <c r="D463" s="1389">
        <v>2910</v>
      </c>
      <c r="E463" s="600">
        <v>0</v>
      </c>
      <c r="F463" s="600">
        <v>0</v>
      </c>
      <c r="G463" s="600">
        <v>0</v>
      </c>
      <c r="H463" s="907" t="e">
        <f t="shared" si="186"/>
        <v>#DIV/0!</v>
      </c>
      <c r="I463" s="908"/>
      <c r="J463" s="909"/>
      <c r="K463" s="708"/>
      <c r="L463" s="563" t="e">
        <f t="shared" si="189"/>
        <v>#DIV/0!</v>
      </c>
    </row>
    <row r="464" spans="1:12" s="1214" customFormat="1" ht="16.5" customHeight="1" thickBot="1">
      <c r="A464" s="1328"/>
      <c r="B464" s="3297" t="s">
        <v>343</v>
      </c>
      <c r="C464" s="3298"/>
      <c r="D464" s="1390"/>
      <c r="E464" s="637">
        <v>0</v>
      </c>
      <c r="F464" s="637">
        <v>0</v>
      </c>
      <c r="G464" s="637">
        <f t="shared" si="180"/>
        <v>0</v>
      </c>
      <c r="H464" s="797"/>
      <c r="I464" s="637">
        <f t="shared" si="180"/>
        <v>0</v>
      </c>
      <c r="J464" s="637">
        <f t="shared" si="180"/>
        <v>0</v>
      </c>
      <c r="K464" s="798"/>
      <c r="L464" s="576"/>
    </row>
    <row r="465" spans="1:12" ht="16.5" customHeight="1" thickBot="1">
      <c r="A465" s="1325"/>
      <c r="B465" s="1333">
        <v>85217</v>
      </c>
      <c r="C465" s="1334" t="s">
        <v>622</v>
      </c>
      <c r="D465" s="1335"/>
      <c r="E465" s="911">
        <f>SUM(E466,E475)</f>
        <v>345337</v>
      </c>
      <c r="F465" s="911">
        <f>SUM(F466,F475)</f>
        <v>348383</v>
      </c>
      <c r="G465" s="911">
        <f>SUM(G466,G475)</f>
        <v>346219</v>
      </c>
      <c r="H465" s="912">
        <f t="shared" si="186"/>
        <v>1.0025540269360074</v>
      </c>
      <c r="I465" s="911">
        <f>SUM(I466,I475)</f>
        <v>0</v>
      </c>
      <c r="J465" s="911">
        <f>SUM(J466,J475)</f>
        <v>346219</v>
      </c>
      <c r="K465" s="658"/>
      <c r="L465" s="553">
        <f t="shared" si="189"/>
        <v>0.99378844547523848</v>
      </c>
    </row>
    <row r="466" spans="1:12">
      <c r="A466" s="1325"/>
      <c r="B466" s="3225" t="s">
        <v>338</v>
      </c>
      <c r="C466" s="3226"/>
      <c r="D466" s="1171"/>
      <c r="E466" s="555">
        <f>SUM(E467:E474)</f>
        <v>345337</v>
      </c>
      <c r="F466" s="555">
        <f t="shared" ref="F466:G466" si="193">SUM(F467:F474)</f>
        <v>348383</v>
      </c>
      <c r="G466" s="555">
        <f t="shared" si="193"/>
        <v>346219</v>
      </c>
      <c r="H466" s="741">
        <f t="shared" si="186"/>
        <v>1.0025540269360074</v>
      </c>
      <c r="I466" s="555">
        <f t="shared" ref="I466:J466" si="194">SUM(I467:I474)</f>
        <v>0</v>
      </c>
      <c r="J466" s="555">
        <f t="shared" si="194"/>
        <v>346219</v>
      </c>
      <c r="K466" s="526"/>
      <c r="L466" s="556">
        <f t="shared" si="189"/>
        <v>0.99378844547523848</v>
      </c>
    </row>
    <row r="467" spans="1:12" hidden="1">
      <c r="A467" s="1325"/>
      <c r="B467" s="3299"/>
      <c r="C467" s="3300" t="s">
        <v>623</v>
      </c>
      <c r="D467" s="1166" t="s">
        <v>624</v>
      </c>
      <c r="E467" s="535">
        <v>0</v>
      </c>
      <c r="F467" s="535">
        <v>0</v>
      </c>
      <c r="G467" s="535"/>
      <c r="H467" s="629"/>
      <c r="I467" s="647"/>
      <c r="J467" s="647"/>
      <c r="K467" s="532"/>
      <c r="L467" s="563" t="e">
        <f t="shared" si="189"/>
        <v>#DIV/0!</v>
      </c>
    </row>
    <row r="468" spans="1:12" ht="15" hidden="1" customHeight="1">
      <c r="A468" s="1325"/>
      <c r="B468" s="3299"/>
      <c r="C468" s="3300"/>
      <c r="D468" s="1166" t="s">
        <v>479</v>
      </c>
      <c r="E468" s="1391">
        <v>0</v>
      </c>
      <c r="F468" s="1391">
        <v>0</v>
      </c>
      <c r="G468" s="1391"/>
      <c r="H468" s="1036"/>
      <c r="I468" s="1037"/>
      <c r="J468" s="1037"/>
      <c r="K468" s="1392"/>
      <c r="L468" s="563" t="e">
        <f t="shared" si="189"/>
        <v>#DIV/0!</v>
      </c>
    </row>
    <row r="469" spans="1:12">
      <c r="A469" s="1325"/>
      <c r="B469" s="3299"/>
      <c r="C469" s="3300"/>
      <c r="D469" s="1166" t="s">
        <v>340</v>
      </c>
      <c r="E469" s="535">
        <v>340356</v>
      </c>
      <c r="F469" s="535">
        <v>340356</v>
      </c>
      <c r="G469" s="535">
        <v>338223</v>
      </c>
      <c r="H469" s="629">
        <f t="shared" si="186"/>
        <v>0.99373303247188238</v>
      </c>
      <c r="I469" s="647">
        <v>0</v>
      </c>
      <c r="J469" s="647">
        <f t="shared" ref="J469:J470" si="195">G469+I469</f>
        <v>338223</v>
      </c>
      <c r="K469" s="532"/>
      <c r="L469" s="533">
        <f t="shared" si="189"/>
        <v>0.99373303247188238</v>
      </c>
    </row>
    <row r="470" spans="1:12">
      <c r="A470" s="1325"/>
      <c r="B470" s="3299"/>
      <c r="C470" s="3300"/>
      <c r="D470" s="1161" t="s">
        <v>341</v>
      </c>
      <c r="E470" s="535">
        <v>2905</v>
      </c>
      <c r="F470" s="535">
        <v>2905</v>
      </c>
      <c r="G470" s="535">
        <v>4845</v>
      </c>
      <c r="H470" s="629">
        <f t="shared" si="186"/>
        <v>1.6678141135972462</v>
      </c>
      <c r="I470" s="647">
        <v>0</v>
      </c>
      <c r="J470" s="647">
        <f t="shared" si="195"/>
        <v>4845</v>
      </c>
      <c r="K470" s="532"/>
      <c r="L470" s="533">
        <f t="shared" si="189"/>
        <v>1.6678141135972462</v>
      </c>
    </row>
    <row r="471" spans="1:12" hidden="1">
      <c r="A471" s="1325"/>
      <c r="B471" s="3299"/>
      <c r="C471" s="3300"/>
      <c r="D471" s="1166" t="s">
        <v>357</v>
      </c>
      <c r="E471" s="535">
        <v>0</v>
      </c>
      <c r="F471" s="535">
        <v>0</v>
      </c>
      <c r="G471" s="535"/>
      <c r="H471" s="629"/>
      <c r="I471" s="647"/>
      <c r="J471" s="647"/>
      <c r="K471" s="532"/>
      <c r="L471" s="533" t="e">
        <f t="shared" si="189"/>
        <v>#DIV/0!</v>
      </c>
    </row>
    <row r="472" spans="1:12">
      <c r="A472" s="1325"/>
      <c r="B472" s="3299"/>
      <c r="C472" s="3300"/>
      <c r="D472" s="1166" t="s">
        <v>342</v>
      </c>
      <c r="E472" s="535">
        <v>2076</v>
      </c>
      <c r="F472" s="535">
        <v>5122</v>
      </c>
      <c r="G472" s="535">
        <v>3151</v>
      </c>
      <c r="H472" s="629">
        <f t="shared" si="186"/>
        <v>1.5178227360308285</v>
      </c>
      <c r="I472" s="647">
        <v>0</v>
      </c>
      <c r="J472" s="647">
        <f t="shared" ref="J472" si="196">G472+I472</f>
        <v>3151</v>
      </c>
      <c r="K472" s="532"/>
      <c r="L472" s="533">
        <f t="shared" si="189"/>
        <v>0.61518937914877003</v>
      </c>
    </row>
    <row r="473" spans="1:12" ht="45" hidden="1" customHeight="1">
      <c r="A473" s="1325"/>
      <c r="B473" s="3299"/>
      <c r="C473" s="1393" t="s">
        <v>625</v>
      </c>
      <c r="D473" s="1161" t="s">
        <v>378</v>
      </c>
      <c r="E473" s="535">
        <v>0</v>
      </c>
      <c r="F473" s="535">
        <v>0</v>
      </c>
      <c r="G473" s="535">
        <v>0</v>
      </c>
      <c r="H473" s="629" t="e">
        <f t="shared" si="186"/>
        <v>#DIV/0!</v>
      </c>
      <c r="I473" s="647"/>
      <c r="J473" s="647"/>
      <c r="K473" s="532">
        <f>G482+G484</f>
        <v>0</v>
      </c>
      <c r="L473" s="563" t="e">
        <f t="shared" si="189"/>
        <v>#DIV/0!</v>
      </c>
    </row>
    <row r="474" spans="1:12" ht="45" hidden="1" customHeight="1">
      <c r="A474" s="1325"/>
      <c r="B474" s="3299"/>
      <c r="C474" s="1393" t="s">
        <v>626</v>
      </c>
      <c r="D474" s="1394" t="s">
        <v>359</v>
      </c>
      <c r="E474" s="625">
        <v>0</v>
      </c>
      <c r="F474" s="625">
        <v>0</v>
      </c>
      <c r="G474" s="625">
        <v>0</v>
      </c>
      <c r="H474" s="746" t="e">
        <f t="shared" si="186"/>
        <v>#DIV/0!</v>
      </c>
      <c r="I474" s="747"/>
      <c r="J474" s="747"/>
      <c r="K474" s="995"/>
      <c r="L474" s="563" t="e">
        <f t="shared" si="189"/>
        <v>#DIV/0!</v>
      </c>
    </row>
    <row r="475" spans="1:12" ht="15.75" thickBot="1">
      <c r="A475" s="1325"/>
      <c r="B475" s="3230" t="s">
        <v>343</v>
      </c>
      <c r="C475" s="3231"/>
      <c r="D475" s="1137"/>
      <c r="E475" s="605">
        <v>0</v>
      </c>
      <c r="F475" s="605">
        <v>0</v>
      </c>
      <c r="G475" s="605">
        <f t="shared" ref="G475:J552" si="197">E475+F475</f>
        <v>0</v>
      </c>
      <c r="H475" s="810"/>
      <c r="I475" s="605">
        <f t="shared" si="197"/>
        <v>0</v>
      </c>
      <c r="J475" s="605">
        <f t="shared" si="197"/>
        <v>0</v>
      </c>
      <c r="K475" s="670"/>
      <c r="L475" s="576"/>
    </row>
    <row r="476" spans="1:12" ht="15.75" thickBot="1">
      <c r="A476" s="1325"/>
      <c r="B476" s="1162">
        <v>85295</v>
      </c>
      <c r="C476" s="1131" t="s">
        <v>11</v>
      </c>
      <c r="D476" s="1132"/>
      <c r="E476" s="518">
        <f>E477+E491</f>
        <v>1610841</v>
      </c>
      <c r="F476" s="518">
        <f>F477+F491</f>
        <v>2047915</v>
      </c>
      <c r="G476" s="518">
        <f>G477+G491</f>
        <v>0</v>
      </c>
      <c r="H476" s="616">
        <f t="shared" si="186"/>
        <v>0</v>
      </c>
      <c r="I476" s="518">
        <f>I477+I491</f>
        <v>3282342</v>
      </c>
      <c r="J476" s="518">
        <f>J477+J491</f>
        <v>3282342</v>
      </c>
      <c r="K476" s="552"/>
      <c r="L476" s="553">
        <f t="shared" si="189"/>
        <v>1.6027725760102347</v>
      </c>
    </row>
    <row r="477" spans="1:12">
      <c r="A477" s="1325"/>
      <c r="B477" s="3225" t="s">
        <v>338</v>
      </c>
      <c r="C477" s="3226"/>
      <c r="D477" s="1171"/>
      <c r="E477" s="524">
        <f>SUM(E478:E490)</f>
        <v>1610841</v>
      </c>
      <c r="F477" s="524">
        <f>SUM(F478:F490)</f>
        <v>2043977</v>
      </c>
      <c r="G477" s="524">
        <f>SUM(G478:G490)</f>
        <v>0</v>
      </c>
      <c r="H477" s="800">
        <f t="shared" si="186"/>
        <v>0</v>
      </c>
      <c r="I477" s="524">
        <f>SUM(I478:I490)</f>
        <v>3282342</v>
      </c>
      <c r="J477" s="524">
        <f>SUM(J478:J490)</f>
        <v>3282342</v>
      </c>
      <c r="K477" s="931"/>
      <c r="L477" s="556">
        <f t="shared" si="189"/>
        <v>1.6058605356126805</v>
      </c>
    </row>
    <row r="478" spans="1:12" ht="38.25">
      <c r="A478" s="1325"/>
      <c r="B478" s="1326"/>
      <c r="C478" s="1395" t="s">
        <v>627</v>
      </c>
      <c r="D478" s="3289">
        <v>2007</v>
      </c>
      <c r="E478" s="535">
        <v>622038</v>
      </c>
      <c r="F478" s="535">
        <v>628428</v>
      </c>
      <c r="G478" s="535">
        <v>0</v>
      </c>
      <c r="H478" s="629">
        <f t="shared" si="186"/>
        <v>0</v>
      </c>
      <c r="I478" s="647">
        <v>1681242</v>
      </c>
      <c r="J478" s="647">
        <f t="shared" ref="J478:J490" si="198">G478+I478</f>
        <v>1681242</v>
      </c>
      <c r="K478" s="532"/>
      <c r="L478" s="533">
        <f t="shared" si="189"/>
        <v>2.6753136397487065</v>
      </c>
    </row>
    <row r="479" spans="1:12" ht="39" hidden="1" thickBot="1">
      <c r="A479" s="1328"/>
      <c r="B479" s="1268"/>
      <c r="C479" s="1396" t="s">
        <v>628</v>
      </c>
      <c r="D479" s="3290"/>
      <c r="E479" s="698">
        <v>158772</v>
      </c>
      <c r="F479" s="698">
        <v>277512</v>
      </c>
      <c r="G479" s="698">
        <v>0</v>
      </c>
      <c r="H479" s="767">
        <f t="shared" si="186"/>
        <v>0</v>
      </c>
      <c r="I479" s="768">
        <v>0</v>
      </c>
      <c r="J479" s="768">
        <f t="shared" si="198"/>
        <v>0</v>
      </c>
      <c r="K479" s="701"/>
      <c r="L479" s="770">
        <f t="shared" si="189"/>
        <v>0</v>
      </c>
    </row>
    <row r="480" spans="1:12" ht="42.75" customHeight="1">
      <c r="A480" s="1325"/>
      <c r="B480" s="1264"/>
      <c r="C480" s="1397" t="s">
        <v>629</v>
      </c>
      <c r="D480" s="3289">
        <v>2009</v>
      </c>
      <c r="E480" s="625">
        <v>115563</v>
      </c>
      <c r="F480" s="625">
        <v>117215</v>
      </c>
      <c r="G480" s="625">
        <v>0</v>
      </c>
      <c r="H480" s="746">
        <f t="shared" si="186"/>
        <v>0</v>
      </c>
      <c r="I480" s="747">
        <v>313588</v>
      </c>
      <c r="J480" s="747">
        <f t="shared" si="198"/>
        <v>313588</v>
      </c>
      <c r="K480" s="995"/>
      <c r="L480" s="758">
        <f t="shared" si="189"/>
        <v>2.6753231241735271</v>
      </c>
    </row>
    <row r="481" spans="1:12" ht="38.25" hidden="1">
      <c r="A481" s="1325"/>
      <c r="B481" s="1264"/>
      <c r="C481" s="1395" t="s">
        <v>630</v>
      </c>
      <c r="D481" s="3290"/>
      <c r="E481" s="625">
        <v>23963</v>
      </c>
      <c r="F481" s="625">
        <v>41884</v>
      </c>
      <c r="G481" s="535">
        <v>0</v>
      </c>
      <c r="H481" s="629">
        <f t="shared" si="186"/>
        <v>0</v>
      </c>
      <c r="I481" s="647">
        <v>0</v>
      </c>
      <c r="J481" s="647">
        <f t="shared" si="198"/>
        <v>0</v>
      </c>
      <c r="K481" s="532"/>
      <c r="L481" s="533">
        <f t="shared" si="189"/>
        <v>0</v>
      </c>
    </row>
    <row r="482" spans="1:12" s="1212" customFormat="1" ht="38.25">
      <c r="A482" s="1325"/>
      <c r="B482" s="1264"/>
      <c r="C482" s="1398" t="s">
        <v>627</v>
      </c>
      <c r="D482" s="3289">
        <v>2057</v>
      </c>
      <c r="E482" s="535">
        <v>395050</v>
      </c>
      <c r="F482" s="535">
        <v>388669</v>
      </c>
      <c r="G482" s="535">
        <v>0</v>
      </c>
      <c r="H482" s="629">
        <f t="shared" si="186"/>
        <v>0</v>
      </c>
      <c r="I482" s="647">
        <v>1085115</v>
      </c>
      <c r="J482" s="647">
        <f t="shared" si="198"/>
        <v>1085115</v>
      </c>
      <c r="K482" s="995"/>
      <c r="L482" s="533">
        <f t="shared" si="189"/>
        <v>2.7918743197939637</v>
      </c>
    </row>
    <row r="483" spans="1:12" s="1212" customFormat="1" ht="51" hidden="1">
      <c r="A483" s="1325"/>
      <c r="B483" s="1264"/>
      <c r="C483" s="1399" t="s">
        <v>631</v>
      </c>
      <c r="D483" s="3291"/>
      <c r="E483" s="625">
        <v>0</v>
      </c>
      <c r="F483" s="625">
        <v>66527</v>
      </c>
      <c r="G483" s="535">
        <v>0</v>
      </c>
      <c r="H483" s="746"/>
      <c r="I483" s="747">
        <v>0</v>
      </c>
      <c r="J483" s="647">
        <f t="shared" si="198"/>
        <v>0</v>
      </c>
      <c r="K483" s="995"/>
      <c r="L483" s="533">
        <f t="shared" si="189"/>
        <v>0</v>
      </c>
    </row>
    <row r="484" spans="1:12" s="1212" customFormat="1" ht="38.25" hidden="1">
      <c r="A484" s="1325"/>
      <c r="B484" s="1264"/>
      <c r="C484" s="1146" t="s">
        <v>632</v>
      </c>
      <c r="D484" s="3290"/>
      <c r="E484" s="625">
        <v>192289</v>
      </c>
      <c r="F484" s="625">
        <v>265783</v>
      </c>
      <c r="G484" s="535">
        <v>0</v>
      </c>
      <c r="H484" s="746">
        <f t="shared" si="186"/>
        <v>0</v>
      </c>
      <c r="I484" s="747">
        <v>0</v>
      </c>
      <c r="J484" s="647">
        <f t="shared" si="198"/>
        <v>0</v>
      </c>
      <c r="K484" s="1015"/>
      <c r="L484" s="533">
        <f t="shared" si="189"/>
        <v>0</v>
      </c>
    </row>
    <row r="485" spans="1:12" s="1212" customFormat="1" ht="38.25">
      <c r="A485" s="1325"/>
      <c r="B485" s="1264"/>
      <c r="C485" s="1399" t="s">
        <v>633</v>
      </c>
      <c r="D485" s="3292" t="s">
        <v>486</v>
      </c>
      <c r="E485" s="625">
        <v>74145</v>
      </c>
      <c r="F485" s="625">
        <v>72495</v>
      </c>
      <c r="G485" s="625">
        <v>0</v>
      </c>
      <c r="H485" s="746">
        <f t="shared" si="186"/>
        <v>0</v>
      </c>
      <c r="I485" s="747">
        <v>202397</v>
      </c>
      <c r="J485" s="747">
        <f t="shared" si="198"/>
        <v>202397</v>
      </c>
      <c r="K485" s="532"/>
      <c r="L485" s="533">
        <f t="shared" si="189"/>
        <v>2.7918753017449478</v>
      </c>
    </row>
    <row r="486" spans="1:12" s="1212" customFormat="1" ht="55.5" hidden="1" customHeight="1" thickBot="1">
      <c r="A486" s="1325"/>
      <c r="B486" s="1282"/>
      <c r="C486" s="1398" t="s">
        <v>634</v>
      </c>
      <c r="D486" s="3293"/>
      <c r="E486" s="535">
        <v>0</v>
      </c>
      <c r="F486" s="535">
        <v>8281</v>
      </c>
      <c r="G486" s="535">
        <v>0</v>
      </c>
      <c r="H486" s="629"/>
      <c r="I486" s="647">
        <v>0</v>
      </c>
      <c r="J486" s="647">
        <f t="shared" si="198"/>
        <v>0</v>
      </c>
      <c r="K486" s="701"/>
      <c r="L486" s="533">
        <f t="shared" si="189"/>
        <v>0</v>
      </c>
    </row>
    <row r="487" spans="1:12" s="1212" customFormat="1" ht="39.75" hidden="1" customHeight="1">
      <c r="A487" s="1325"/>
      <c r="B487" s="1264"/>
      <c r="C487" s="1400" t="s">
        <v>635</v>
      </c>
      <c r="D487" s="1286" t="s">
        <v>486</v>
      </c>
      <c r="E487" s="625">
        <v>29021</v>
      </c>
      <c r="F487" s="625">
        <v>41885</v>
      </c>
      <c r="G487" s="625">
        <v>0</v>
      </c>
      <c r="H487" s="746">
        <f t="shared" si="186"/>
        <v>0</v>
      </c>
      <c r="I487" s="747">
        <v>0</v>
      </c>
      <c r="J487" s="747">
        <f t="shared" si="198"/>
        <v>0</v>
      </c>
      <c r="K487" s="995"/>
      <c r="L487" s="533">
        <f t="shared" si="189"/>
        <v>0</v>
      </c>
    </row>
    <row r="488" spans="1:12" ht="20.25" hidden="1" customHeight="1">
      <c r="A488" s="1325"/>
      <c r="B488" s="1264"/>
      <c r="C488" s="3294" t="s">
        <v>636</v>
      </c>
      <c r="D488" s="1166" t="s">
        <v>637</v>
      </c>
      <c r="E488" s="634">
        <v>0</v>
      </c>
      <c r="F488" s="634">
        <v>4098</v>
      </c>
      <c r="G488" s="634">
        <v>0</v>
      </c>
      <c r="H488" s="629"/>
      <c r="I488" s="647">
        <v>0</v>
      </c>
      <c r="J488" s="647">
        <f t="shared" si="198"/>
        <v>0</v>
      </c>
      <c r="K488" s="532"/>
      <c r="L488" s="533">
        <f t="shared" si="189"/>
        <v>0</v>
      </c>
    </row>
    <row r="489" spans="1:12" ht="18.75" hidden="1" customHeight="1">
      <c r="A489" s="1325"/>
      <c r="B489" s="1264"/>
      <c r="C489" s="3295"/>
      <c r="D489" s="1166" t="s">
        <v>593</v>
      </c>
      <c r="E489" s="634">
        <v>0</v>
      </c>
      <c r="F489" s="634">
        <v>765</v>
      </c>
      <c r="G489" s="634">
        <v>0</v>
      </c>
      <c r="H489" s="629"/>
      <c r="I489" s="647">
        <v>0</v>
      </c>
      <c r="J489" s="647">
        <f t="shared" si="198"/>
        <v>0</v>
      </c>
      <c r="K489" s="532"/>
      <c r="L489" s="533">
        <f t="shared" si="189"/>
        <v>0</v>
      </c>
    </row>
    <row r="490" spans="1:12" ht="42" hidden="1" customHeight="1" thickBot="1">
      <c r="A490" s="1328"/>
      <c r="B490" s="1264"/>
      <c r="C490" s="1401" t="s">
        <v>592</v>
      </c>
      <c r="D490" s="1166" t="s">
        <v>593</v>
      </c>
      <c r="E490" s="634">
        <v>0</v>
      </c>
      <c r="F490" s="634">
        <v>130435</v>
      </c>
      <c r="G490" s="634">
        <v>0</v>
      </c>
      <c r="H490" s="761"/>
      <c r="I490" s="762">
        <v>0</v>
      </c>
      <c r="J490" s="762">
        <f t="shared" si="198"/>
        <v>0</v>
      </c>
      <c r="K490" s="701"/>
      <c r="L490" s="770">
        <f t="shared" si="189"/>
        <v>0</v>
      </c>
    </row>
    <row r="491" spans="1:12" ht="15.75" thickBot="1">
      <c r="A491" s="1325"/>
      <c r="B491" s="3249" t="s">
        <v>343</v>
      </c>
      <c r="C491" s="3254"/>
      <c r="D491" s="1402"/>
      <c r="E491" s="538">
        <f>SUM(E492:E494)</f>
        <v>0</v>
      </c>
      <c r="F491" s="538">
        <f>SUM(F492:F494)</f>
        <v>3938</v>
      </c>
      <c r="G491" s="538">
        <f t="shared" ref="G491:J491" si="199">SUM(G492:G494)</f>
        <v>0</v>
      </c>
      <c r="H491" s="620"/>
      <c r="I491" s="538">
        <f t="shared" si="199"/>
        <v>0</v>
      </c>
      <c r="J491" s="538">
        <f t="shared" si="199"/>
        <v>0</v>
      </c>
      <c r="K491" s="662"/>
      <c r="L491" s="556">
        <f t="shared" si="189"/>
        <v>0</v>
      </c>
    </row>
    <row r="492" spans="1:12" ht="38.25" hidden="1" customHeight="1">
      <c r="A492" s="1325"/>
      <c r="B492" s="3227"/>
      <c r="C492" s="1403" t="s">
        <v>638</v>
      </c>
      <c r="D492" s="1404">
        <v>6207</v>
      </c>
      <c r="E492" s="625">
        <v>0</v>
      </c>
      <c r="F492" s="625">
        <v>0</v>
      </c>
      <c r="G492" s="625">
        <v>0</v>
      </c>
      <c r="H492" s="629"/>
      <c r="I492" s="647"/>
      <c r="J492" s="647"/>
      <c r="K492" s="532"/>
      <c r="L492" s="563" t="e">
        <f t="shared" si="189"/>
        <v>#DIV/0!</v>
      </c>
    </row>
    <row r="493" spans="1:12" s="1214" customFormat="1" ht="38.25" hidden="1" customHeight="1">
      <c r="A493" s="1325"/>
      <c r="B493" s="3228"/>
      <c r="C493" s="1405" t="s">
        <v>639</v>
      </c>
      <c r="D493" s="1406">
        <v>6209</v>
      </c>
      <c r="E493" s="1407">
        <v>0</v>
      </c>
      <c r="F493" s="535">
        <v>0</v>
      </c>
      <c r="G493" s="535">
        <v>0</v>
      </c>
      <c r="H493" s="629"/>
      <c r="I493" s="647"/>
      <c r="J493" s="647"/>
      <c r="K493" s="532"/>
      <c r="L493" s="563" t="e">
        <f t="shared" si="189"/>
        <v>#DIV/0!</v>
      </c>
    </row>
    <row r="494" spans="1:12" ht="45" hidden="1" customHeight="1" thickBot="1">
      <c r="A494" s="1328"/>
      <c r="B494" s="3288"/>
      <c r="C494" s="1408" t="s">
        <v>640</v>
      </c>
      <c r="D494" s="1330">
        <v>6699</v>
      </c>
      <c r="E494" s="586">
        <v>0</v>
      </c>
      <c r="F494" s="586">
        <v>3938</v>
      </c>
      <c r="G494" s="586">
        <v>0</v>
      </c>
      <c r="H494" s="1026"/>
      <c r="I494" s="866">
        <v>0</v>
      </c>
      <c r="J494" s="647">
        <f t="shared" ref="J494" si="200">G494+I494</f>
        <v>0</v>
      </c>
      <c r="K494" s="1027"/>
      <c r="L494" s="780">
        <f t="shared" si="189"/>
        <v>0</v>
      </c>
    </row>
    <row r="495" spans="1:12" ht="26.25" thickBot="1">
      <c r="A495" s="1124">
        <v>853</v>
      </c>
      <c r="B495" s="1125"/>
      <c r="C495" s="1126" t="s">
        <v>27</v>
      </c>
      <c r="D495" s="1127"/>
      <c r="E495" s="653">
        <f>SUM(E501,E505,E496,E517)</f>
        <v>9551838</v>
      </c>
      <c r="F495" s="653">
        <f>SUM(F501,F505,F496,F517)</f>
        <v>12275543</v>
      </c>
      <c r="G495" s="653">
        <f>SUM(G501,G505,G496,G517)</f>
        <v>6358118</v>
      </c>
      <c r="H495" s="1409">
        <f t="shared" si="186"/>
        <v>0.66564340810637701</v>
      </c>
      <c r="I495" s="653">
        <f>SUM(I501,I505,I496,I517)</f>
        <v>0</v>
      </c>
      <c r="J495" s="653">
        <f>SUM(J501,J505,J496,J517)</f>
        <v>6358118</v>
      </c>
      <c r="K495" s="1410"/>
      <c r="L495" s="643">
        <f t="shared" si="189"/>
        <v>0.51795004098800357</v>
      </c>
    </row>
    <row r="496" spans="1:12" ht="26.25" hidden="1" thickBot="1">
      <c r="A496" s="1411"/>
      <c r="B496" s="1130">
        <v>85311</v>
      </c>
      <c r="C496" s="1132" t="s">
        <v>641</v>
      </c>
      <c r="D496" s="1227"/>
      <c r="E496" s="1110">
        <f>E497+E500</f>
        <v>0</v>
      </c>
      <c r="F496" s="1110">
        <f>F497+F500</f>
        <v>0</v>
      </c>
      <c r="G496" s="1110">
        <f>G497+G500</f>
        <v>0</v>
      </c>
      <c r="H496" s="616"/>
      <c r="I496" s="1110">
        <f>I497+I500</f>
        <v>0</v>
      </c>
      <c r="J496" s="1110">
        <f>J497+J500</f>
        <v>0</v>
      </c>
      <c r="K496" s="738"/>
      <c r="L496" s="772" t="e">
        <f t="shared" si="189"/>
        <v>#DIV/0!</v>
      </c>
    </row>
    <row r="497" spans="1:12" ht="16.5" hidden="1" customHeight="1">
      <c r="A497" s="1321"/>
      <c r="B497" s="3243" t="s">
        <v>338</v>
      </c>
      <c r="C497" s="3243"/>
      <c r="D497" s="1100"/>
      <c r="E497" s="956">
        <f>E499</f>
        <v>0</v>
      </c>
      <c r="F497" s="956">
        <f t="shared" ref="F497" si="201">F499</f>
        <v>0</v>
      </c>
      <c r="G497" s="956">
        <f>SUM(G498:G499)</f>
        <v>0</v>
      </c>
      <c r="H497" s="800"/>
      <c r="I497" s="956">
        <f>SUM(I498:I499)</f>
        <v>0</v>
      </c>
      <c r="J497" s="956">
        <f>SUM(J498:J499)</f>
        <v>0</v>
      </c>
      <c r="K497" s="801"/>
      <c r="L497" s="563" t="e">
        <f t="shared" si="189"/>
        <v>#DIV/0!</v>
      </c>
    </row>
    <row r="498" spans="1:12" ht="77.25" hidden="1" thickBot="1">
      <c r="A498" s="1321"/>
      <c r="B498" s="3227"/>
      <c r="C498" s="1412" t="s">
        <v>642</v>
      </c>
      <c r="D498" s="1161" t="s">
        <v>378</v>
      </c>
      <c r="E498" s="600">
        <v>0</v>
      </c>
      <c r="F498" s="600">
        <v>0</v>
      </c>
      <c r="G498" s="600"/>
      <c r="H498" s="629"/>
      <c r="I498" s="600"/>
      <c r="J498" s="600"/>
      <c r="K498" s="603"/>
      <c r="L498" s="563" t="e">
        <f t="shared" si="189"/>
        <v>#DIV/0!</v>
      </c>
    </row>
    <row r="499" spans="1:12" ht="77.25" hidden="1" thickBot="1">
      <c r="A499" s="1321"/>
      <c r="B499" s="3229"/>
      <c r="C499" s="1412" t="s">
        <v>643</v>
      </c>
      <c r="D499" s="1161" t="s">
        <v>359</v>
      </c>
      <c r="E499" s="600">
        <v>0</v>
      </c>
      <c r="F499" s="600">
        <v>0</v>
      </c>
      <c r="G499" s="600"/>
      <c r="H499" s="629"/>
      <c r="I499" s="600"/>
      <c r="J499" s="600"/>
      <c r="K499" s="603"/>
      <c r="L499" s="563" t="e">
        <f t="shared" si="189"/>
        <v>#DIV/0!</v>
      </c>
    </row>
    <row r="500" spans="1:12" ht="16.5" hidden="1" customHeight="1" thickBot="1">
      <c r="A500" s="1321"/>
      <c r="B500" s="3230" t="s">
        <v>343</v>
      </c>
      <c r="C500" s="3236"/>
      <c r="D500" s="1137"/>
      <c r="E500" s="879">
        <v>0</v>
      </c>
      <c r="F500" s="879">
        <v>0</v>
      </c>
      <c r="G500" s="879">
        <v>0</v>
      </c>
      <c r="H500" s="797"/>
      <c r="I500" s="879">
        <v>0</v>
      </c>
      <c r="J500" s="879">
        <v>0</v>
      </c>
      <c r="K500" s="798"/>
      <c r="L500" s="549" t="e">
        <f t="shared" si="189"/>
        <v>#DIV/0!</v>
      </c>
    </row>
    <row r="501" spans="1:12" ht="25.5" customHeight="1" thickBot="1">
      <c r="A501" s="1321"/>
      <c r="B501" s="1162">
        <v>85324</v>
      </c>
      <c r="C501" s="1132" t="s">
        <v>644</v>
      </c>
      <c r="D501" s="1227"/>
      <c r="E501" s="656">
        <f>E502+E504</f>
        <v>568402</v>
      </c>
      <c r="F501" s="656">
        <f>F502+F504</f>
        <v>568402</v>
      </c>
      <c r="G501" s="656">
        <f>G502+G504</f>
        <v>619561</v>
      </c>
      <c r="H501" s="781">
        <f t="shared" si="186"/>
        <v>1.0900049612774059</v>
      </c>
      <c r="I501" s="656">
        <f>I502+I504</f>
        <v>0</v>
      </c>
      <c r="J501" s="656">
        <f>J502+J504</f>
        <v>619561</v>
      </c>
      <c r="K501" s="658"/>
      <c r="L501" s="553">
        <f t="shared" si="189"/>
        <v>1.0900049612774059</v>
      </c>
    </row>
    <row r="502" spans="1:12" ht="13.5" customHeight="1">
      <c r="A502" s="1321"/>
      <c r="B502" s="3243" t="s">
        <v>338</v>
      </c>
      <c r="C502" s="3243"/>
      <c r="D502" s="1100"/>
      <c r="E502" s="524">
        <f>E503</f>
        <v>568402</v>
      </c>
      <c r="F502" s="524">
        <f t="shared" ref="F502:J502" si="202">F503</f>
        <v>568402</v>
      </c>
      <c r="G502" s="524">
        <f t="shared" si="202"/>
        <v>619561</v>
      </c>
      <c r="H502" s="800">
        <f t="shared" si="186"/>
        <v>1.0900049612774059</v>
      </c>
      <c r="I502" s="524">
        <f t="shared" si="202"/>
        <v>0</v>
      </c>
      <c r="J502" s="524">
        <f t="shared" si="202"/>
        <v>619561</v>
      </c>
      <c r="K502" s="931"/>
      <c r="L502" s="556">
        <f t="shared" si="189"/>
        <v>1.0900049612774059</v>
      </c>
    </row>
    <row r="503" spans="1:12" ht="29.25" customHeight="1">
      <c r="A503" s="1321"/>
      <c r="B503" s="1413"/>
      <c r="C503" s="1229" t="s">
        <v>645</v>
      </c>
      <c r="D503" s="1161" t="s">
        <v>342</v>
      </c>
      <c r="E503" s="535">
        <v>568402</v>
      </c>
      <c r="F503" s="535">
        <v>568402</v>
      </c>
      <c r="G503" s="535">
        <v>619561</v>
      </c>
      <c r="H503" s="1414">
        <f t="shared" si="186"/>
        <v>1.0900049612774059</v>
      </c>
      <c r="I503" s="1415">
        <v>0</v>
      </c>
      <c r="J503" s="647">
        <f t="shared" ref="J503" si="203">G503+I503</f>
        <v>619561</v>
      </c>
      <c r="K503" s="1416"/>
      <c r="L503" s="533">
        <f t="shared" si="189"/>
        <v>1.0900049612774059</v>
      </c>
    </row>
    <row r="504" spans="1:12" ht="15.75" thickBot="1">
      <c r="A504" s="1321"/>
      <c r="B504" s="3230" t="s">
        <v>343</v>
      </c>
      <c r="C504" s="3236"/>
      <c r="D504" s="1137"/>
      <c r="E504" s="573">
        <v>0</v>
      </c>
      <c r="F504" s="573">
        <v>0</v>
      </c>
      <c r="G504" s="573">
        <v>0</v>
      </c>
      <c r="H504" s="797"/>
      <c r="I504" s="573">
        <v>0</v>
      </c>
      <c r="J504" s="573">
        <v>0</v>
      </c>
      <c r="K504" s="575"/>
      <c r="L504" s="576"/>
    </row>
    <row r="505" spans="1:12" ht="15.75" thickBot="1">
      <c r="A505" s="1321"/>
      <c r="B505" s="1175">
        <v>85332</v>
      </c>
      <c r="C505" s="1176" t="s">
        <v>646</v>
      </c>
      <c r="D505" s="1177"/>
      <c r="E505" s="1120">
        <f>SUM(E506,E516)</f>
        <v>8906490</v>
      </c>
      <c r="F505" s="1120">
        <f>SUM(F506,F516)</f>
        <v>11344196</v>
      </c>
      <c r="G505" s="1120">
        <f>SUM(G506,G516)</f>
        <v>5687073</v>
      </c>
      <c r="H505" s="1417">
        <f t="shared" si="186"/>
        <v>0.63853134062913675</v>
      </c>
      <c r="I505" s="1120">
        <f>SUM(I506,I516)</f>
        <v>0</v>
      </c>
      <c r="J505" s="1120">
        <f>SUM(J506,J516)</f>
        <v>5687073</v>
      </c>
      <c r="K505" s="1418"/>
      <c r="L505" s="553">
        <f t="shared" si="189"/>
        <v>0.50132005829236381</v>
      </c>
    </row>
    <row r="506" spans="1:12">
      <c r="A506" s="1321"/>
      <c r="B506" s="3280" t="s">
        <v>338</v>
      </c>
      <c r="C506" s="3281"/>
      <c r="D506" s="1419"/>
      <c r="E506" s="555">
        <f>SUM(E507:E515)</f>
        <v>8906490</v>
      </c>
      <c r="F506" s="555">
        <f>SUM(F507:F515)</f>
        <v>11344196</v>
      </c>
      <c r="G506" s="555">
        <f>SUM(G507:G515)</f>
        <v>5687073</v>
      </c>
      <c r="H506" s="525">
        <f t="shared" si="186"/>
        <v>0.63853134062913675</v>
      </c>
      <c r="I506" s="555">
        <f>SUM(I507:I515)</f>
        <v>0</v>
      </c>
      <c r="J506" s="555">
        <f>SUM(J507:J515)</f>
        <v>5687073</v>
      </c>
      <c r="K506" s="526"/>
      <c r="L506" s="556">
        <f t="shared" si="189"/>
        <v>0.50132005829236381</v>
      </c>
    </row>
    <row r="507" spans="1:12" hidden="1">
      <c r="A507" s="1321"/>
      <c r="B507" s="3282"/>
      <c r="C507" s="3283" t="s">
        <v>518</v>
      </c>
      <c r="D507" s="1420" t="s">
        <v>647</v>
      </c>
      <c r="E507" s="529">
        <v>0</v>
      </c>
      <c r="F507" s="529">
        <v>223</v>
      </c>
      <c r="G507" s="529">
        <v>0</v>
      </c>
      <c r="H507" s="1421"/>
      <c r="I507" s="1422">
        <v>0</v>
      </c>
      <c r="J507" s="647">
        <f t="shared" ref="J507:J513" si="204">G507+I507</f>
        <v>0</v>
      </c>
      <c r="K507" s="668"/>
      <c r="L507" s="533">
        <f t="shared" si="189"/>
        <v>0</v>
      </c>
    </row>
    <row r="508" spans="1:12" ht="27.75" customHeight="1">
      <c r="A508" s="1321"/>
      <c r="B508" s="3282"/>
      <c r="C508" s="3283"/>
      <c r="D508" s="1420" t="s">
        <v>342</v>
      </c>
      <c r="E508" s="560">
        <v>8834</v>
      </c>
      <c r="F508" s="560">
        <v>8834</v>
      </c>
      <c r="G508" s="560">
        <v>8400</v>
      </c>
      <c r="H508" s="1423">
        <f t="shared" si="186"/>
        <v>0.95087163232963545</v>
      </c>
      <c r="I508" s="630">
        <v>0</v>
      </c>
      <c r="J508" s="647">
        <f t="shared" si="204"/>
        <v>8400</v>
      </c>
      <c r="K508" s="1015"/>
      <c r="L508" s="533">
        <f t="shared" si="189"/>
        <v>0.95087163232963545</v>
      </c>
    </row>
    <row r="509" spans="1:12" ht="38.25">
      <c r="A509" s="1321"/>
      <c r="B509" s="3282"/>
      <c r="C509" s="1424" t="s">
        <v>648</v>
      </c>
      <c r="D509" s="1425" t="s">
        <v>649</v>
      </c>
      <c r="E509" s="535">
        <v>3413000</v>
      </c>
      <c r="F509" s="535">
        <v>5700000</v>
      </c>
      <c r="G509" s="535">
        <v>848000</v>
      </c>
      <c r="H509" s="530">
        <f t="shared" si="186"/>
        <v>0.24846176384412541</v>
      </c>
      <c r="I509" s="531">
        <v>0</v>
      </c>
      <c r="J509" s="647">
        <f t="shared" si="204"/>
        <v>848000</v>
      </c>
      <c r="K509" s="532"/>
      <c r="L509" s="533">
        <f t="shared" si="189"/>
        <v>0.14877192982456142</v>
      </c>
    </row>
    <row r="510" spans="1:12" ht="38.25">
      <c r="A510" s="1321"/>
      <c r="B510" s="3282"/>
      <c r="C510" s="1424" t="s">
        <v>650</v>
      </c>
      <c r="D510" s="1426" t="s">
        <v>474</v>
      </c>
      <c r="E510" s="560">
        <v>4214656</v>
      </c>
      <c r="F510" s="560">
        <v>3702439</v>
      </c>
      <c r="G510" s="560">
        <v>3477673</v>
      </c>
      <c r="H510" s="530">
        <f t="shared" si="186"/>
        <v>0.82513804210830022</v>
      </c>
      <c r="I510" s="531">
        <v>0</v>
      </c>
      <c r="J510" s="647">
        <f t="shared" si="204"/>
        <v>3477673</v>
      </c>
      <c r="K510" s="532"/>
      <c r="L510" s="533">
        <f t="shared" si="189"/>
        <v>0.93929245019296737</v>
      </c>
    </row>
    <row r="511" spans="1:12" ht="38.25">
      <c r="A511" s="1321"/>
      <c r="B511" s="3282"/>
      <c r="C511" s="1427" t="s">
        <v>363</v>
      </c>
      <c r="D511" s="1428" t="s">
        <v>455</v>
      </c>
      <c r="E511" s="634">
        <v>1000</v>
      </c>
      <c r="F511" s="634">
        <v>1000</v>
      </c>
      <c r="G511" s="634">
        <v>1000</v>
      </c>
      <c r="H511" s="530">
        <f t="shared" si="186"/>
        <v>1</v>
      </c>
      <c r="I511" s="531">
        <v>0</v>
      </c>
      <c r="J511" s="647">
        <f t="shared" si="204"/>
        <v>1000</v>
      </c>
      <c r="K511" s="532"/>
      <c r="L511" s="533">
        <f t="shared" si="189"/>
        <v>1</v>
      </c>
    </row>
    <row r="512" spans="1:12" ht="19.5" customHeight="1">
      <c r="A512" s="1321"/>
      <c r="B512" s="3282"/>
      <c r="C512" s="1424" t="s">
        <v>651</v>
      </c>
      <c r="D512" s="1428" t="s">
        <v>392</v>
      </c>
      <c r="E512" s="634">
        <v>0</v>
      </c>
      <c r="F512" s="634">
        <v>0</v>
      </c>
      <c r="G512" s="634">
        <v>1352000</v>
      </c>
      <c r="H512" s="530"/>
      <c r="I512" s="531">
        <v>0</v>
      </c>
      <c r="J512" s="647">
        <f t="shared" si="204"/>
        <v>1352000</v>
      </c>
      <c r="K512" s="532"/>
      <c r="L512" s="533"/>
    </row>
    <row r="513" spans="1:12" ht="25.5" hidden="1">
      <c r="A513" s="1321"/>
      <c r="B513" s="3282"/>
      <c r="C513" s="1424" t="s">
        <v>651</v>
      </c>
      <c r="D513" s="1428" t="s">
        <v>482</v>
      </c>
      <c r="E513" s="535">
        <v>1269000</v>
      </c>
      <c r="F513" s="535">
        <v>1931700</v>
      </c>
      <c r="G513" s="535">
        <v>0</v>
      </c>
      <c r="H513" s="530">
        <f t="shared" si="186"/>
        <v>0</v>
      </c>
      <c r="I513" s="531">
        <v>0</v>
      </c>
      <c r="J513" s="647">
        <f t="shared" si="204"/>
        <v>0</v>
      </c>
      <c r="K513" s="532"/>
      <c r="L513" s="533">
        <f t="shared" si="189"/>
        <v>0</v>
      </c>
    </row>
    <row r="514" spans="1:12" ht="51" hidden="1" customHeight="1">
      <c r="A514" s="1321"/>
      <c r="B514" s="3282"/>
      <c r="C514" s="1424" t="s">
        <v>652</v>
      </c>
      <c r="D514" s="1428" t="s">
        <v>653</v>
      </c>
      <c r="E514" s="535">
        <v>0</v>
      </c>
      <c r="F514" s="535">
        <v>0</v>
      </c>
      <c r="G514" s="535">
        <v>0</v>
      </c>
      <c r="H514" s="530"/>
      <c r="I514" s="531"/>
      <c r="J514" s="531"/>
      <c r="K514" s="532"/>
      <c r="L514" s="563" t="e">
        <f t="shared" si="189"/>
        <v>#DIV/0!</v>
      </c>
    </row>
    <row r="515" spans="1:12" ht="51" hidden="1" customHeight="1">
      <c r="A515" s="1321"/>
      <c r="B515" s="3282"/>
      <c r="C515" s="1429" t="s">
        <v>652</v>
      </c>
      <c r="D515" s="1428" t="s">
        <v>591</v>
      </c>
      <c r="E515" s="535">
        <v>0</v>
      </c>
      <c r="F515" s="535">
        <v>0</v>
      </c>
      <c r="G515" s="535">
        <v>0</v>
      </c>
      <c r="H515" s="530"/>
      <c r="I515" s="531"/>
      <c r="J515" s="531"/>
      <c r="K515" s="532"/>
      <c r="L515" s="563" t="e">
        <f t="shared" si="189"/>
        <v>#DIV/0!</v>
      </c>
    </row>
    <row r="516" spans="1:12" ht="15" customHeight="1" thickBot="1">
      <c r="A516" s="1321"/>
      <c r="B516" s="3284" t="s">
        <v>343</v>
      </c>
      <c r="C516" s="3285"/>
      <c r="D516" s="1430"/>
      <c r="E516" s="573">
        <v>0</v>
      </c>
      <c r="F516" s="573">
        <v>0</v>
      </c>
      <c r="G516" s="573">
        <v>0</v>
      </c>
      <c r="H516" s="574"/>
      <c r="I516" s="573">
        <v>0</v>
      </c>
      <c r="J516" s="573">
        <v>0</v>
      </c>
      <c r="K516" s="575"/>
      <c r="L516" s="608"/>
    </row>
    <row r="517" spans="1:12" ht="15.75" thickBot="1">
      <c r="A517" s="1321"/>
      <c r="B517" s="1175">
        <v>85395</v>
      </c>
      <c r="C517" s="1176" t="s">
        <v>11</v>
      </c>
      <c r="D517" s="1177"/>
      <c r="E517" s="1120">
        <f>SUM(E518+E529)</f>
        <v>76946</v>
      </c>
      <c r="F517" s="1120">
        <f>SUM(F518+F529)</f>
        <v>362945</v>
      </c>
      <c r="G517" s="1120">
        <f>SUM(G518+G529)</f>
        <v>51484</v>
      </c>
      <c r="H517" s="1034">
        <f t="shared" ref="H517:H580" si="205">G517/E517</f>
        <v>0.66909261040210022</v>
      </c>
      <c r="I517" s="1120">
        <f>SUM(I518+I529)</f>
        <v>0</v>
      </c>
      <c r="J517" s="1120">
        <f>SUM(J518+J529)</f>
        <v>51484</v>
      </c>
      <c r="K517" s="1418"/>
      <c r="L517" s="553">
        <f t="shared" si="189"/>
        <v>0.14185069363126646</v>
      </c>
    </row>
    <row r="518" spans="1:12" ht="17.25" customHeight="1">
      <c r="A518" s="1321"/>
      <c r="B518" s="3286" t="s">
        <v>338</v>
      </c>
      <c r="C518" s="3287"/>
      <c r="D518" s="1419"/>
      <c r="E518" s="555">
        <f>SUM(E521:E528)</f>
        <v>76946</v>
      </c>
      <c r="F518" s="555">
        <f t="shared" ref="F518:G518" si="206">SUM(F521:F528)</f>
        <v>360530</v>
      </c>
      <c r="G518" s="555">
        <f t="shared" si="206"/>
        <v>51484</v>
      </c>
      <c r="H518" s="741">
        <f t="shared" si="205"/>
        <v>0.66909261040210022</v>
      </c>
      <c r="I518" s="555">
        <f t="shared" ref="I518:J518" si="207">SUM(I521:I528)</f>
        <v>0</v>
      </c>
      <c r="J518" s="555">
        <f t="shared" si="207"/>
        <v>51484</v>
      </c>
      <c r="K518" s="526"/>
      <c r="L518" s="556">
        <f t="shared" si="189"/>
        <v>0.14280087648739356</v>
      </c>
    </row>
    <row r="519" spans="1:12" ht="15" hidden="1" customHeight="1">
      <c r="A519" s="1321"/>
      <c r="B519" s="1431"/>
      <c r="C519" s="1424" t="s">
        <v>654</v>
      </c>
      <c r="D519" s="1432" t="s">
        <v>357</v>
      </c>
      <c r="E519" s="535">
        <v>0</v>
      </c>
      <c r="F519" s="535">
        <v>0</v>
      </c>
      <c r="G519" s="535">
        <v>0</v>
      </c>
      <c r="H519" s="629" t="e">
        <f t="shared" si="205"/>
        <v>#DIV/0!</v>
      </c>
      <c r="I519" s="647"/>
      <c r="J519" s="647"/>
      <c r="K519" s="532"/>
      <c r="L519" s="563" t="e">
        <f t="shared" si="189"/>
        <v>#DIV/0!</v>
      </c>
    </row>
    <row r="520" spans="1:12" ht="17.25" hidden="1" customHeight="1">
      <c r="A520" s="1321"/>
      <c r="B520" s="1431"/>
      <c r="C520" s="1424" t="s">
        <v>655</v>
      </c>
      <c r="D520" s="1432" t="s">
        <v>342</v>
      </c>
      <c r="E520" s="535">
        <v>0</v>
      </c>
      <c r="F520" s="535">
        <v>0</v>
      </c>
      <c r="G520" s="535">
        <v>0</v>
      </c>
      <c r="H520" s="629" t="e">
        <f t="shared" si="205"/>
        <v>#DIV/0!</v>
      </c>
      <c r="I520" s="647"/>
      <c r="J520" s="647"/>
      <c r="K520" s="532"/>
      <c r="L520" s="563" t="e">
        <f t="shared" si="189"/>
        <v>#DIV/0!</v>
      </c>
    </row>
    <row r="521" spans="1:12" ht="76.5">
      <c r="A521" s="1321"/>
      <c r="B521" s="1431"/>
      <c r="C521" s="1433" t="s">
        <v>656</v>
      </c>
      <c r="D521" s="1195">
        <v>2057</v>
      </c>
      <c r="E521" s="535">
        <v>64850</v>
      </c>
      <c r="F521" s="535">
        <v>71347</v>
      </c>
      <c r="G521" s="535">
        <v>43390</v>
      </c>
      <c r="H521" s="629">
        <f t="shared" si="205"/>
        <v>0.669082498072475</v>
      </c>
      <c r="I521" s="647">
        <v>0</v>
      </c>
      <c r="J521" s="647">
        <f t="shared" ref="J521:J530" si="208">G521+I521</f>
        <v>43390</v>
      </c>
      <c r="K521" s="532"/>
      <c r="L521" s="533">
        <f t="shared" si="189"/>
        <v>0.60815451245322161</v>
      </c>
    </row>
    <row r="522" spans="1:12" ht="76.5">
      <c r="A522" s="1321"/>
      <c r="B522" s="1434"/>
      <c r="C522" s="1435" t="s">
        <v>657</v>
      </c>
      <c r="D522" s="1195">
        <v>2059</v>
      </c>
      <c r="E522" s="535">
        <v>12096</v>
      </c>
      <c r="F522" s="535">
        <v>13309</v>
      </c>
      <c r="G522" s="535">
        <v>8094</v>
      </c>
      <c r="H522" s="629">
        <f t="shared" si="205"/>
        <v>0.66914682539682535</v>
      </c>
      <c r="I522" s="647">
        <v>0</v>
      </c>
      <c r="J522" s="647">
        <f t="shared" si="208"/>
        <v>8094</v>
      </c>
      <c r="K522" s="532"/>
      <c r="L522" s="533">
        <f t="shared" si="189"/>
        <v>0.6081598918025396</v>
      </c>
    </row>
    <row r="523" spans="1:12" ht="51" hidden="1">
      <c r="A523" s="1321"/>
      <c r="B523" s="1431"/>
      <c r="C523" s="1436" t="s">
        <v>658</v>
      </c>
      <c r="D523" s="1207">
        <v>2918</v>
      </c>
      <c r="E523" s="535">
        <v>0</v>
      </c>
      <c r="F523" s="535">
        <v>1438</v>
      </c>
      <c r="G523" s="634">
        <v>0</v>
      </c>
      <c r="H523" s="629"/>
      <c r="I523" s="647">
        <v>0</v>
      </c>
      <c r="J523" s="647">
        <f t="shared" si="208"/>
        <v>0</v>
      </c>
      <c r="K523" s="532"/>
      <c r="L523" s="533">
        <f t="shared" ref="L523:L586" si="209">J523/F523</f>
        <v>0</v>
      </c>
    </row>
    <row r="524" spans="1:12" ht="63.75" hidden="1">
      <c r="A524" s="1321"/>
      <c r="B524" s="1431"/>
      <c r="C524" s="1437" t="s">
        <v>590</v>
      </c>
      <c r="D524" s="3269">
        <v>2919</v>
      </c>
      <c r="E524" s="634">
        <v>0</v>
      </c>
      <c r="F524" s="634">
        <v>8403</v>
      </c>
      <c r="G524" s="634">
        <v>0</v>
      </c>
      <c r="H524" s="761"/>
      <c r="I524" s="762">
        <v>0</v>
      </c>
      <c r="J524" s="647">
        <f t="shared" si="208"/>
        <v>0</v>
      </c>
      <c r="K524" s="1196"/>
      <c r="L524" s="533">
        <f t="shared" si="209"/>
        <v>0</v>
      </c>
    </row>
    <row r="525" spans="1:12" s="925" customFormat="1" ht="63.75" hidden="1">
      <c r="A525" s="1321"/>
      <c r="B525" s="1431"/>
      <c r="C525" s="1437" t="s">
        <v>659</v>
      </c>
      <c r="D525" s="3270"/>
      <c r="E525" s="634">
        <v>0</v>
      </c>
      <c r="F525" s="634">
        <v>28</v>
      </c>
      <c r="G525" s="634">
        <v>0</v>
      </c>
      <c r="H525" s="761"/>
      <c r="I525" s="762">
        <v>0</v>
      </c>
      <c r="J525" s="647">
        <f t="shared" si="208"/>
        <v>0</v>
      </c>
      <c r="K525" s="1196"/>
      <c r="L525" s="533">
        <f t="shared" si="209"/>
        <v>0</v>
      </c>
    </row>
    <row r="526" spans="1:12" s="925" customFormat="1" ht="51.75" hidden="1" thickBot="1">
      <c r="A526" s="1438"/>
      <c r="B526" s="1439"/>
      <c r="C526" s="1440" t="s">
        <v>660</v>
      </c>
      <c r="D526" s="3271"/>
      <c r="E526" s="698">
        <v>0</v>
      </c>
      <c r="F526" s="698">
        <v>1295</v>
      </c>
      <c r="G526" s="698">
        <v>0</v>
      </c>
      <c r="H526" s="767"/>
      <c r="I526" s="768">
        <v>0</v>
      </c>
      <c r="J526" s="768">
        <f t="shared" si="208"/>
        <v>0</v>
      </c>
      <c r="K526" s="701"/>
      <c r="L526" s="770">
        <f t="shared" si="209"/>
        <v>0</v>
      </c>
    </row>
    <row r="527" spans="1:12" s="925" customFormat="1" ht="38.25" hidden="1">
      <c r="A527" s="1321"/>
      <c r="B527" s="1431"/>
      <c r="C527" s="1441" t="s">
        <v>592</v>
      </c>
      <c r="D527" s="3270">
        <v>2959</v>
      </c>
      <c r="E527" s="560">
        <v>0</v>
      </c>
      <c r="F527" s="560">
        <v>251533</v>
      </c>
      <c r="G527" s="560">
        <v>0</v>
      </c>
      <c r="H527" s="746"/>
      <c r="I527" s="755">
        <v>0</v>
      </c>
      <c r="J527" s="755">
        <f t="shared" si="208"/>
        <v>0</v>
      </c>
      <c r="K527" s="1015"/>
      <c r="L527" s="758">
        <f t="shared" si="209"/>
        <v>0</v>
      </c>
    </row>
    <row r="528" spans="1:12" s="925" customFormat="1" ht="38.25" hidden="1">
      <c r="A528" s="1321"/>
      <c r="B528" s="1442"/>
      <c r="C528" s="1436" t="s">
        <v>661</v>
      </c>
      <c r="D528" s="3272"/>
      <c r="E528" s="535">
        <v>0</v>
      </c>
      <c r="F528" s="535">
        <v>13177</v>
      </c>
      <c r="G528" s="535">
        <v>0</v>
      </c>
      <c r="H528" s="629"/>
      <c r="I528" s="647">
        <v>0</v>
      </c>
      <c r="J528" s="647">
        <f t="shared" si="208"/>
        <v>0</v>
      </c>
      <c r="K528" s="532"/>
      <c r="L528" s="533">
        <f t="shared" si="209"/>
        <v>0</v>
      </c>
    </row>
    <row r="529" spans="1:12" s="925" customFormat="1" ht="15.75" thickBot="1">
      <c r="A529" s="1438"/>
      <c r="B529" s="3273" t="s">
        <v>343</v>
      </c>
      <c r="C529" s="3274"/>
      <c r="D529" s="1205"/>
      <c r="E529" s="660">
        <f t="shared" ref="E529:J529" si="210">E530</f>
        <v>0</v>
      </c>
      <c r="F529" s="660">
        <f t="shared" si="210"/>
        <v>2415</v>
      </c>
      <c r="G529" s="660">
        <f t="shared" si="210"/>
        <v>0</v>
      </c>
      <c r="H529" s="921"/>
      <c r="I529" s="660">
        <f t="shared" si="210"/>
        <v>0</v>
      </c>
      <c r="J529" s="660">
        <f t="shared" si="210"/>
        <v>0</v>
      </c>
      <c r="K529" s="662"/>
      <c r="L529" s="693">
        <f t="shared" si="209"/>
        <v>0</v>
      </c>
    </row>
    <row r="530" spans="1:12" s="925" customFormat="1" ht="39.75" hidden="1" customHeight="1" thickBot="1">
      <c r="A530" s="1438"/>
      <c r="B530" s="1218"/>
      <c r="C530" s="1443" t="s">
        <v>592</v>
      </c>
      <c r="D530" s="1444">
        <v>6699</v>
      </c>
      <c r="E530" s="698">
        <v>0</v>
      </c>
      <c r="F530" s="698">
        <v>2415</v>
      </c>
      <c r="G530" s="698">
        <v>0</v>
      </c>
      <c r="H530" s="767"/>
      <c r="I530" s="768">
        <v>0</v>
      </c>
      <c r="J530" s="647">
        <f t="shared" si="208"/>
        <v>0</v>
      </c>
      <c r="K530" s="701"/>
      <c r="L530" s="533">
        <f t="shared" si="209"/>
        <v>0</v>
      </c>
    </row>
    <row r="531" spans="1:12" s="925" customFormat="1" ht="15.75" hidden="1" thickBot="1">
      <c r="A531" s="1445">
        <v>854</v>
      </c>
      <c r="B531" s="1090"/>
      <c r="C531" s="1092" t="s">
        <v>662</v>
      </c>
      <c r="D531" s="1093"/>
      <c r="E531" s="1446">
        <f>E532</f>
        <v>0</v>
      </c>
      <c r="F531" s="1446">
        <f t="shared" ref="F531:G531" si="211">F532</f>
        <v>0</v>
      </c>
      <c r="G531" s="1446">
        <f t="shared" si="211"/>
        <v>0</v>
      </c>
      <c r="H531" s="1385" t="e">
        <f t="shared" si="205"/>
        <v>#DIV/0!</v>
      </c>
      <c r="I531" s="1447"/>
      <c r="J531" s="1447"/>
      <c r="K531" s="1386"/>
      <c r="L531" s="563" t="e">
        <f t="shared" si="209"/>
        <v>#DIV/0!</v>
      </c>
    </row>
    <row r="532" spans="1:12" s="925" customFormat="1" ht="15.75" hidden="1" thickBot="1">
      <c r="A532" s="3275"/>
      <c r="B532" s="1448">
        <v>85410</v>
      </c>
      <c r="C532" s="1097" t="s">
        <v>663</v>
      </c>
      <c r="D532" s="1449"/>
      <c r="E532" s="1163">
        <f>E533+E535</f>
        <v>0</v>
      </c>
      <c r="F532" s="1163">
        <f t="shared" ref="F532:G532" si="212">F533+F535</f>
        <v>0</v>
      </c>
      <c r="G532" s="1163">
        <f t="shared" si="212"/>
        <v>0</v>
      </c>
      <c r="H532" s="781" t="e">
        <f t="shared" si="205"/>
        <v>#DIV/0!</v>
      </c>
      <c r="I532" s="1344"/>
      <c r="J532" s="1344"/>
      <c r="K532" s="617"/>
      <c r="L532" s="563" t="e">
        <f t="shared" si="209"/>
        <v>#DIV/0!</v>
      </c>
    </row>
    <row r="533" spans="1:12" s="925" customFormat="1" ht="15.75" hidden="1" thickBot="1">
      <c r="A533" s="3276"/>
      <c r="B533" s="3278" t="s">
        <v>338</v>
      </c>
      <c r="C533" s="3279"/>
      <c r="D533" s="1337"/>
      <c r="E533" s="1164">
        <f>E534</f>
        <v>0</v>
      </c>
      <c r="F533" s="1164">
        <f t="shared" ref="F533:G533" si="213">F534</f>
        <v>0</v>
      </c>
      <c r="G533" s="1164">
        <f t="shared" si="213"/>
        <v>0</v>
      </c>
      <c r="H533" s="741" t="e">
        <f t="shared" si="205"/>
        <v>#DIV/0!</v>
      </c>
      <c r="I533" s="1338"/>
      <c r="J533" s="1338"/>
      <c r="K533" s="742"/>
      <c r="L533" s="563" t="e">
        <f t="shared" si="209"/>
        <v>#DIV/0!</v>
      </c>
    </row>
    <row r="534" spans="1:12" s="925" customFormat="1" ht="41.25" hidden="1" customHeight="1">
      <c r="A534" s="3276"/>
      <c r="B534" s="1450"/>
      <c r="C534" s="1451" t="s">
        <v>563</v>
      </c>
      <c r="D534" s="1452">
        <v>2400</v>
      </c>
      <c r="E534" s="594">
        <v>0</v>
      </c>
      <c r="F534" s="594">
        <v>0</v>
      </c>
      <c r="G534" s="594">
        <v>0</v>
      </c>
      <c r="H534" s="754" t="e">
        <f t="shared" si="205"/>
        <v>#DIV/0!</v>
      </c>
      <c r="I534" s="755"/>
      <c r="J534" s="755"/>
      <c r="K534" s="757"/>
      <c r="L534" s="563" t="e">
        <f t="shared" si="209"/>
        <v>#DIV/0!</v>
      </c>
    </row>
    <row r="535" spans="1:12" s="925" customFormat="1" ht="15.75" hidden="1" thickBot="1">
      <c r="A535" s="3277"/>
      <c r="B535" s="3268" t="s">
        <v>343</v>
      </c>
      <c r="C535" s="3264"/>
      <c r="D535" s="1137"/>
      <c r="E535" s="879">
        <v>0</v>
      </c>
      <c r="F535" s="879">
        <v>0</v>
      </c>
      <c r="G535" s="879">
        <v>0</v>
      </c>
      <c r="H535" s="797" t="e">
        <f t="shared" si="205"/>
        <v>#DIV/0!</v>
      </c>
      <c r="I535" s="1156"/>
      <c r="J535" s="1156"/>
      <c r="K535" s="798"/>
      <c r="L535" s="549" t="e">
        <f t="shared" si="209"/>
        <v>#DIV/0!</v>
      </c>
    </row>
    <row r="536" spans="1:12" s="925" customFormat="1" ht="15.75" thickBot="1">
      <c r="A536" s="1445">
        <v>855</v>
      </c>
      <c r="B536" s="1090"/>
      <c r="C536" s="1092" t="s">
        <v>9</v>
      </c>
      <c r="D536" s="1093"/>
      <c r="E536" s="653">
        <f>SUM(E543,E547,E537)</f>
        <v>4307351</v>
      </c>
      <c r="F536" s="653">
        <f>SUM(F543,F547,F537)</f>
        <v>4307678</v>
      </c>
      <c r="G536" s="653">
        <f>SUM(G543,G547,G537)</f>
        <v>4649786</v>
      </c>
      <c r="H536" s="986">
        <f t="shared" si="205"/>
        <v>1.0795001382520255</v>
      </c>
      <c r="I536" s="653">
        <f>SUM(I543,I547,I537)</f>
        <v>1336976</v>
      </c>
      <c r="J536" s="653">
        <f>SUM(J543,J547,J537)</f>
        <v>5986762</v>
      </c>
      <c r="K536" s="1094"/>
      <c r="L536" s="643">
        <f t="shared" si="209"/>
        <v>1.389788651798022</v>
      </c>
    </row>
    <row r="537" spans="1:12" s="925" customFormat="1" ht="15.75" hidden="1" customHeight="1" thickBot="1">
      <c r="A537" s="1228"/>
      <c r="B537" s="1448">
        <v>85504</v>
      </c>
      <c r="C537" s="1097" t="s">
        <v>664</v>
      </c>
      <c r="D537" s="1449"/>
      <c r="E537" s="656">
        <f>E538+E542</f>
        <v>0</v>
      </c>
      <c r="F537" s="656">
        <f>F538+F542</f>
        <v>0</v>
      </c>
      <c r="G537" s="656">
        <f>G538+G542</f>
        <v>0</v>
      </c>
      <c r="H537" s="1034"/>
      <c r="I537" s="656">
        <f>I538+I542</f>
        <v>0</v>
      </c>
      <c r="J537" s="656">
        <f>J538+J542</f>
        <v>0</v>
      </c>
      <c r="K537" s="1418"/>
      <c r="L537" s="772" t="e">
        <f t="shared" si="209"/>
        <v>#DIV/0!</v>
      </c>
    </row>
    <row r="538" spans="1:12" s="925" customFormat="1" ht="15.75" hidden="1" thickBot="1">
      <c r="A538" s="1228"/>
      <c r="B538" s="3263" t="s">
        <v>338</v>
      </c>
      <c r="C538" s="3263"/>
      <c r="D538" s="1100"/>
      <c r="E538" s="677">
        <f>SUM(E539:E541)</f>
        <v>0</v>
      </c>
      <c r="F538" s="677">
        <f t="shared" ref="F538:G538" si="214">SUM(F539:F541)</f>
        <v>0</v>
      </c>
      <c r="G538" s="677">
        <f t="shared" si="214"/>
        <v>0</v>
      </c>
      <c r="H538" s="741"/>
      <c r="I538" s="677">
        <f t="shared" ref="I538:J538" si="215">SUM(I539:I541)</f>
        <v>0</v>
      </c>
      <c r="J538" s="677">
        <f t="shared" si="215"/>
        <v>0</v>
      </c>
      <c r="K538" s="526"/>
      <c r="L538" s="563" t="e">
        <f t="shared" si="209"/>
        <v>#DIV/0!</v>
      </c>
    </row>
    <row r="539" spans="1:12" s="925" customFormat="1" ht="52.5" hidden="1" customHeight="1">
      <c r="A539" s="1228"/>
      <c r="B539" s="1453"/>
      <c r="C539" s="1454" t="s">
        <v>377</v>
      </c>
      <c r="D539" s="1455" t="s">
        <v>378</v>
      </c>
      <c r="E539" s="535">
        <v>0</v>
      </c>
      <c r="F539" s="535">
        <v>0</v>
      </c>
      <c r="G539" s="535"/>
      <c r="H539" s="629"/>
      <c r="I539" s="535"/>
      <c r="J539" s="535"/>
      <c r="K539" s="532"/>
      <c r="L539" s="563" t="e">
        <f t="shared" si="209"/>
        <v>#DIV/0!</v>
      </c>
    </row>
    <row r="540" spans="1:12" s="925" customFormat="1" ht="15.75" hidden="1" customHeight="1">
      <c r="A540" s="1228"/>
      <c r="B540" s="1453"/>
      <c r="C540" s="1456" t="s">
        <v>665</v>
      </c>
      <c r="D540" s="1161" t="s">
        <v>486</v>
      </c>
      <c r="E540" s="535">
        <v>0</v>
      </c>
      <c r="F540" s="535">
        <v>0</v>
      </c>
      <c r="G540" s="535"/>
      <c r="H540" s="629"/>
      <c r="I540" s="535"/>
      <c r="J540" s="535"/>
      <c r="K540" s="532"/>
      <c r="L540" s="563" t="e">
        <f t="shared" si="209"/>
        <v>#DIV/0!</v>
      </c>
    </row>
    <row r="541" spans="1:12" s="1212" customFormat="1" ht="39" hidden="1" thickBot="1">
      <c r="A541" s="1228"/>
      <c r="B541" s="1453"/>
      <c r="C541" s="1146" t="s">
        <v>666</v>
      </c>
      <c r="D541" s="1161" t="s">
        <v>396</v>
      </c>
      <c r="E541" s="535">
        <v>0</v>
      </c>
      <c r="F541" s="535">
        <v>0</v>
      </c>
      <c r="G541" s="535"/>
      <c r="H541" s="629"/>
      <c r="I541" s="535"/>
      <c r="J541" s="535"/>
      <c r="K541" s="532"/>
      <c r="L541" s="563" t="e">
        <f t="shared" si="209"/>
        <v>#DIV/0!</v>
      </c>
    </row>
    <row r="542" spans="1:12" s="1214" customFormat="1" ht="15.75" hidden="1" thickBot="1">
      <c r="A542" s="1228"/>
      <c r="B542" s="3268" t="s">
        <v>343</v>
      </c>
      <c r="C542" s="3264"/>
      <c r="D542" s="1137"/>
      <c r="E542" s="879">
        <v>0</v>
      </c>
      <c r="F542" s="879">
        <v>0</v>
      </c>
      <c r="G542" s="879">
        <v>0</v>
      </c>
      <c r="H542" s="797"/>
      <c r="I542" s="879">
        <v>0</v>
      </c>
      <c r="J542" s="879">
        <v>0</v>
      </c>
      <c r="K542" s="798"/>
      <c r="L542" s="549" t="e">
        <f t="shared" si="209"/>
        <v>#DIV/0!</v>
      </c>
    </row>
    <row r="543" spans="1:12" ht="15.75" thickBot="1">
      <c r="A543" s="1228"/>
      <c r="B543" s="1448">
        <v>85509</v>
      </c>
      <c r="C543" s="1098" t="s">
        <v>667</v>
      </c>
      <c r="D543" s="1449"/>
      <c r="E543" s="518">
        <f t="shared" ref="E543" si="216">SUM(E544,E546)</f>
        <v>883000</v>
      </c>
      <c r="F543" s="518">
        <f>F544+F546</f>
        <v>883000</v>
      </c>
      <c r="G543" s="518">
        <f>G544+G546</f>
        <v>883000</v>
      </c>
      <c r="H543" s="616">
        <f t="shared" si="205"/>
        <v>1</v>
      </c>
      <c r="I543" s="518">
        <f>I544+I546</f>
        <v>713000</v>
      </c>
      <c r="J543" s="518">
        <f>J544+J546</f>
        <v>1596000</v>
      </c>
      <c r="K543" s="552"/>
      <c r="L543" s="553">
        <f t="shared" si="209"/>
        <v>1.8074745186862966</v>
      </c>
    </row>
    <row r="544" spans="1:12">
      <c r="A544" s="1228"/>
      <c r="B544" s="3243" t="s">
        <v>338</v>
      </c>
      <c r="C544" s="3243"/>
      <c r="D544" s="1100"/>
      <c r="E544" s="524">
        <f t="shared" ref="E544" si="217">SUM(E545)</f>
        <v>883000</v>
      </c>
      <c r="F544" s="524">
        <f>F545</f>
        <v>883000</v>
      </c>
      <c r="G544" s="524">
        <f>G545</f>
        <v>883000</v>
      </c>
      <c r="H544" s="800">
        <f t="shared" si="205"/>
        <v>1</v>
      </c>
      <c r="I544" s="524">
        <f>I545</f>
        <v>713000</v>
      </c>
      <c r="J544" s="524">
        <f>J545</f>
        <v>1596000</v>
      </c>
      <c r="K544" s="931"/>
      <c r="L544" s="556">
        <f t="shared" si="209"/>
        <v>1.8074745186862966</v>
      </c>
    </row>
    <row r="545" spans="1:12" ht="36.75" customHeight="1">
      <c r="A545" s="1228"/>
      <c r="B545" s="1457"/>
      <c r="C545" s="1135" t="s">
        <v>363</v>
      </c>
      <c r="D545" s="1301" t="s">
        <v>455</v>
      </c>
      <c r="E545" s="535">
        <v>883000</v>
      </c>
      <c r="F545" s="535">
        <v>883000</v>
      </c>
      <c r="G545" s="535">
        <v>883000</v>
      </c>
      <c r="H545" s="629">
        <f t="shared" si="205"/>
        <v>1</v>
      </c>
      <c r="I545" s="647">
        <v>713000</v>
      </c>
      <c r="J545" s="647">
        <f t="shared" ref="J545" si="218">G545+I545</f>
        <v>1596000</v>
      </c>
      <c r="K545" s="532"/>
      <c r="L545" s="533">
        <f t="shared" si="209"/>
        <v>1.8074745186862966</v>
      </c>
    </row>
    <row r="546" spans="1:12" ht="15" customHeight="1" thickBot="1">
      <c r="A546" s="1228"/>
      <c r="B546" s="3230" t="s">
        <v>343</v>
      </c>
      <c r="C546" s="3236"/>
      <c r="D546" s="1137"/>
      <c r="E546" s="573">
        <v>0</v>
      </c>
      <c r="F546" s="573">
        <v>0</v>
      </c>
      <c r="G546" s="573">
        <f t="shared" si="197"/>
        <v>0</v>
      </c>
      <c r="H546" s="797"/>
      <c r="I546" s="573">
        <f t="shared" si="197"/>
        <v>0</v>
      </c>
      <c r="J546" s="573">
        <f t="shared" si="197"/>
        <v>0</v>
      </c>
      <c r="K546" s="575"/>
      <c r="L546" s="576"/>
    </row>
    <row r="547" spans="1:12" ht="18" customHeight="1" thickBot="1">
      <c r="A547" s="1228"/>
      <c r="B547" s="1458">
        <v>85510</v>
      </c>
      <c r="C547" s="1459" t="s">
        <v>668</v>
      </c>
      <c r="D547" s="1449"/>
      <c r="E547" s="518">
        <f>SUM(E548,E552)</f>
        <v>3424351</v>
      </c>
      <c r="F547" s="518">
        <f>SUM(F548,F552)</f>
        <v>3424678</v>
      </c>
      <c r="G547" s="518">
        <f>SUM(G548,G552)</f>
        <v>3766786</v>
      </c>
      <c r="H547" s="616">
        <f t="shared" si="205"/>
        <v>1.0999999707973862</v>
      </c>
      <c r="I547" s="518">
        <f>SUM(I548,I552)</f>
        <v>623976</v>
      </c>
      <c r="J547" s="518">
        <f>SUM(J548,J552)</f>
        <v>4390762</v>
      </c>
      <c r="K547" s="552"/>
      <c r="L547" s="553">
        <f t="shared" si="209"/>
        <v>1.2820948422012231</v>
      </c>
    </row>
    <row r="548" spans="1:12">
      <c r="A548" s="1228"/>
      <c r="B548" s="3234" t="s">
        <v>338</v>
      </c>
      <c r="C548" s="3243"/>
      <c r="D548" s="1100"/>
      <c r="E548" s="524">
        <f>SUM(E549:E551,)</f>
        <v>3424351</v>
      </c>
      <c r="F548" s="524">
        <f t="shared" ref="F548" si="219">SUM(F549:F551,)</f>
        <v>3424678</v>
      </c>
      <c r="G548" s="524">
        <f>SUM(G549:G551)</f>
        <v>3766786</v>
      </c>
      <c r="H548" s="800">
        <f t="shared" si="205"/>
        <v>1.0999999707973862</v>
      </c>
      <c r="I548" s="524">
        <f>SUM(I549:I551)</f>
        <v>623976</v>
      </c>
      <c r="J548" s="524">
        <f>SUM(J549:J551)</f>
        <v>4390762</v>
      </c>
      <c r="K548" s="931"/>
      <c r="L548" s="556">
        <f t="shared" si="209"/>
        <v>1.2820948422012231</v>
      </c>
    </row>
    <row r="549" spans="1:12" hidden="1">
      <c r="A549" s="1228"/>
      <c r="B549" s="1460"/>
      <c r="C549" s="1461" t="s">
        <v>654</v>
      </c>
      <c r="D549" s="1462" t="s">
        <v>357</v>
      </c>
      <c r="E549" s="535">
        <v>0</v>
      </c>
      <c r="F549" s="535">
        <v>0</v>
      </c>
      <c r="G549" s="535"/>
      <c r="H549" s="629"/>
      <c r="I549" s="647"/>
      <c r="J549" s="647"/>
      <c r="K549" s="532"/>
      <c r="L549" s="563" t="e">
        <f t="shared" si="209"/>
        <v>#DIV/0!</v>
      </c>
    </row>
    <row r="550" spans="1:12" ht="38.25">
      <c r="A550" s="1228"/>
      <c r="B550" s="1463"/>
      <c r="C550" s="1112" t="s">
        <v>669</v>
      </c>
      <c r="D550" s="1301" t="s">
        <v>670</v>
      </c>
      <c r="E550" s="535">
        <v>3424351</v>
      </c>
      <c r="F550" s="535">
        <v>3424351</v>
      </c>
      <c r="G550" s="535">
        <v>3766786</v>
      </c>
      <c r="H550" s="629">
        <f t="shared" si="205"/>
        <v>1.0999999707973862</v>
      </c>
      <c r="I550" s="647">
        <v>623976</v>
      </c>
      <c r="J550" s="647">
        <f t="shared" ref="J550:J551" si="220">G550+I550</f>
        <v>4390762</v>
      </c>
      <c r="K550" s="532"/>
      <c r="L550" s="533">
        <f t="shared" si="209"/>
        <v>1.2822172727036452</v>
      </c>
    </row>
    <row r="551" spans="1:12" s="1214" customFormat="1" ht="39.75" hidden="1" customHeight="1">
      <c r="A551" s="1228"/>
      <c r="B551" s="1463"/>
      <c r="C551" s="1461" t="s">
        <v>671</v>
      </c>
      <c r="D551" s="1357" t="s">
        <v>359</v>
      </c>
      <c r="E551" s="535">
        <v>0</v>
      </c>
      <c r="F551" s="535">
        <v>327</v>
      </c>
      <c r="G551" s="535">
        <v>0</v>
      </c>
      <c r="H551" s="629"/>
      <c r="I551" s="647">
        <v>0</v>
      </c>
      <c r="J551" s="647">
        <f t="shared" si="220"/>
        <v>0</v>
      </c>
      <c r="K551" s="532"/>
      <c r="L551" s="533">
        <f t="shared" si="209"/>
        <v>0</v>
      </c>
    </row>
    <row r="552" spans="1:12" ht="15.75" thickBot="1">
      <c r="A552" s="1233"/>
      <c r="B552" s="3230" t="s">
        <v>343</v>
      </c>
      <c r="C552" s="3236"/>
      <c r="D552" s="1137"/>
      <c r="E552" s="605">
        <v>0</v>
      </c>
      <c r="F552" s="605">
        <v>0</v>
      </c>
      <c r="G552" s="605">
        <f t="shared" si="197"/>
        <v>0</v>
      </c>
      <c r="H552" s="810"/>
      <c r="I552" s="605">
        <f t="shared" si="197"/>
        <v>0</v>
      </c>
      <c r="J552" s="605">
        <f t="shared" si="197"/>
        <v>0</v>
      </c>
      <c r="K552" s="670"/>
      <c r="L552" s="576"/>
    </row>
    <row r="553" spans="1:12" ht="15.75" thickBot="1">
      <c r="A553" s="1090">
        <v>900</v>
      </c>
      <c r="B553" s="1091"/>
      <c r="C553" s="1092" t="s">
        <v>672</v>
      </c>
      <c r="D553" s="1093"/>
      <c r="E553" s="509">
        <f>SUM(E554,E560,E568,E578,E574)</f>
        <v>612150</v>
      </c>
      <c r="F553" s="509">
        <f>SUM(F554,F560,F568,F578,F574)</f>
        <v>612150</v>
      </c>
      <c r="G553" s="509">
        <f>SUM(G554,G560,G568,G578,G574)</f>
        <v>602500</v>
      </c>
      <c r="H553" s="732">
        <f t="shared" si="205"/>
        <v>0.9842358898962672</v>
      </c>
      <c r="I553" s="509">
        <f>SUM(I554,I560,I568,I578,I574)</f>
        <v>0</v>
      </c>
      <c r="J553" s="509">
        <f>SUM(J554,J560,J568,J578,J574)</f>
        <v>602500</v>
      </c>
      <c r="K553" s="642"/>
      <c r="L553" s="643">
        <f t="shared" si="209"/>
        <v>0.9842358898962672</v>
      </c>
    </row>
    <row r="554" spans="1:12" ht="26.25" customHeight="1" thickBot="1">
      <c r="A554" s="1228"/>
      <c r="B554" s="1096">
        <v>90019</v>
      </c>
      <c r="C554" s="1097" t="s">
        <v>673</v>
      </c>
      <c r="D554" s="1098"/>
      <c r="E554" s="518">
        <f>SUM(E555,E559)</f>
        <v>350000</v>
      </c>
      <c r="F554" s="518">
        <f>SUM(F555,F559)</f>
        <v>350000</v>
      </c>
      <c r="G554" s="518">
        <f>SUM(G555,G559)</f>
        <v>400000</v>
      </c>
      <c r="H554" s="616">
        <f t="shared" si="205"/>
        <v>1.1428571428571428</v>
      </c>
      <c r="I554" s="518">
        <f>SUM(I555,I559)</f>
        <v>0</v>
      </c>
      <c r="J554" s="518">
        <f>SUM(J555,J559)</f>
        <v>400000</v>
      </c>
      <c r="K554" s="552"/>
      <c r="L554" s="553">
        <f t="shared" si="209"/>
        <v>1.1428571428571428</v>
      </c>
    </row>
    <row r="555" spans="1:12">
      <c r="A555" s="1228"/>
      <c r="B555" s="3263" t="s">
        <v>338</v>
      </c>
      <c r="C555" s="3263"/>
      <c r="D555" s="1100"/>
      <c r="E555" s="524">
        <f>SUM(E556:E558)</f>
        <v>350000</v>
      </c>
      <c r="F555" s="524">
        <f>SUM(F556:F558)</f>
        <v>350000</v>
      </c>
      <c r="G555" s="524">
        <f>SUM(G556:G558)</f>
        <v>400000</v>
      </c>
      <c r="H555" s="800">
        <f t="shared" si="205"/>
        <v>1.1428571428571428</v>
      </c>
      <c r="I555" s="524">
        <f>SUM(I556:I558)</f>
        <v>0</v>
      </c>
      <c r="J555" s="524">
        <f>SUM(J556:J558)</f>
        <v>400000</v>
      </c>
      <c r="K555" s="931"/>
      <c r="L555" s="556">
        <f t="shared" si="209"/>
        <v>1.1428571428571428</v>
      </c>
    </row>
    <row r="556" spans="1:12">
      <c r="A556" s="1228"/>
      <c r="B556" s="1264"/>
      <c r="C556" s="1172" t="s">
        <v>674</v>
      </c>
      <c r="D556" s="1464" t="s">
        <v>355</v>
      </c>
      <c r="E556" s="535">
        <v>350000</v>
      </c>
      <c r="F556" s="535">
        <v>350000</v>
      </c>
      <c r="G556" s="535">
        <v>400000</v>
      </c>
      <c r="H556" s="629">
        <f t="shared" si="205"/>
        <v>1.1428571428571428</v>
      </c>
      <c r="I556" s="647">
        <v>0</v>
      </c>
      <c r="J556" s="647">
        <f t="shared" ref="J556" si="221">G556+I556</f>
        <v>400000</v>
      </c>
      <c r="K556" s="532"/>
      <c r="L556" s="533">
        <f t="shared" si="209"/>
        <v>1.1428571428571428</v>
      </c>
    </row>
    <row r="557" spans="1:12" ht="15.75" hidden="1" customHeight="1" thickBot="1">
      <c r="A557" s="1228"/>
      <c r="B557" s="1268"/>
      <c r="C557" s="1465" t="s">
        <v>675</v>
      </c>
      <c r="D557" s="1466"/>
      <c r="E557" s="586">
        <v>0</v>
      </c>
      <c r="F557" s="586">
        <v>0</v>
      </c>
      <c r="G557" s="586">
        <v>0</v>
      </c>
      <c r="H557" s="1026" t="e">
        <f t="shared" si="205"/>
        <v>#DIV/0!</v>
      </c>
      <c r="I557" s="866"/>
      <c r="J557" s="866"/>
      <c r="K557" s="1027"/>
      <c r="L557" s="563" t="e">
        <f t="shared" si="209"/>
        <v>#DIV/0!</v>
      </c>
    </row>
    <row r="558" spans="1:12" ht="38.25" hidden="1">
      <c r="A558" s="1228"/>
      <c r="B558" s="1467"/>
      <c r="C558" s="1468" t="s">
        <v>371</v>
      </c>
      <c r="D558" s="1469" t="s">
        <v>409</v>
      </c>
      <c r="E558" s="1470">
        <v>0</v>
      </c>
      <c r="F558" s="1470">
        <v>0</v>
      </c>
      <c r="G558" s="1470">
        <v>0</v>
      </c>
      <c r="H558" s="1471" t="e">
        <f t="shared" si="205"/>
        <v>#DIV/0!</v>
      </c>
      <c r="I558" s="1472"/>
      <c r="J558" s="1472"/>
      <c r="K558" s="1473"/>
      <c r="L558" s="563" t="e">
        <f t="shared" si="209"/>
        <v>#DIV/0!</v>
      </c>
    </row>
    <row r="559" spans="1:12" ht="15" customHeight="1" thickBot="1">
      <c r="A559" s="1228"/>
      <c r="B559" s="3230" t="s">
        <v>343</v>
      </c>
      <c r="C559" s="3236"/>
      <c r="D559" s="1137"/>
      <c r="E559" s="573">
        <v>0</v>
      </c>
      <c r="F559" s="573">
        <v>0</v>
      </c>
      <c r="G559" s="573">
        <f t="shared" ref="G559:J651" si="222">E559+F559</f>
        <v>0</v>
      </c>
      <c r="H559" s="797"/>
      <c r="I559" s="573">
        <f t="shared" si="222"/>
        <v>0</v>
      </c>
      <c r="J559" s="573">
        <f t="shared" si="222"/>
        <v>0</v>
      </c>
      <c r="K559" s="575"/>
      <c r="L559" s="608"/>
    </row>
    <row r="560" spans="1:12" ht="26.25" thickBot="1">
      <c r="A560" s="1228"/>
      <c r="B560" s="1333">
        <v>90020</v>
      </c>
      <c r="C560" s="1334" t="s">
        <v>676</v>
      </c>
      <c r="D560" s="1335"/>
      <c r="E560" s="911">
        <f>SUM(E561,E567)</f>
        <v>111100</v>
      </c>
      <c r="F560" s="911">
        <f>SUM(F561,F567)</f>
        <v>111100</v>
      </c>
      <c r="G560" s="911">
        <f>SUM(G561,G567)</f>
        <v>101200</v>
      </c>
      <c r="H560" s="912">
        <f t="shared" si="205"/>
        <v>0.91089108910891092</v>
      </c>
      <c r="I560" s="911">
        <f>SUM(I561,I567)</f>
        <v>0</v>
      </c>
      <c r="J560" s="911">
        <f>SUM(J561,J567)</f>
        <v>101200</v>
      </c>
      <c r="K560" s="954"/>
      <c r="L560" s="1054">
        <f t="shared" si="209"/>
        <v>0.91089108910891092</v>
      </c>
    </row>
    <row r="561" spans="1:12" ht="15.75" customHeight="1">
      <c r="A561" s="1228"/>
      <c r="B561" s="3263" t="s">
        <v>338</v>
      </c>
      <c r="C561" s="3263"/>
      <c r="D561" s="1100"/>
      <c r="E561" s="524">
        <f>SUM(E562:E566)</f>
        <v>111100</v>
      </c>
      <c r="F561" s="524">
        <f>SUM(F562:F566)</f>
        <v>111100</v>
      </c>
      <c r="G561" s="524">
        <f>SUM(G562:G566)</f>
        <v>101200</v>
      </c>
      <c r="H561" s="800">
        <f t="shared" si="205"/>
        <v>0.91089108910891092</v>
      </c>
      <c r="I561" s="524">
        <f>SUM(I562:I566)</f>
        <v>0</v>
      </c>
      <c r="J561" s="524">
        <f>SUM(J562:J566)</f>
        <v>101200</v>
      </c>
      <c r="K561" s="801"/>
      <c r="L561" s="556">
        <f t="shared" si="209"/>
        <v>0.91089108910891092</v>
      </c>
    </row>
    <row r="562" spans="1:12" ht="15" customHeight="1">
      <c r="A562" s="1228"/>
      <c r="B562" s="3265"/>
      <c r="C562" s="1474" t="s">
        <v>677</v>
      </c>
      <c r="D562" s="1475" t="s">
        <v>678</v>
      </c>
      <c r="E562" s="529">
        <v>50000</v>
      </c>
      <c r="F562" s="529">
        <v>50000</v>
      </c>
      <c r="G562" s="529">
        <v>40000</v>
      </c>
      <c r="H562" s="629">
        <f t="shared" si="205"/>
        <v>0.8</v>
      </c>
      <c r="I562" s="647">
        <v>0</v>
      </c>
      <c r="J562" s="647">
        <f t="shared" ref="J562:J566" si="223">G562+I562</f>
        <v>40000</v>
      </c>
      <c r="K562" s="603"/>
      <c r="L562" s="533">
        <f t="shared" si="209"/>
        <v>0.8</v>
      </c>
    </row>
    <row r="563" spans="1:12" ht="25.5">
      <c r="A563" s="1228"/>
      <c r="B563" s="3266"/>
      <c r="C563" s="1112" t="s">
        <v>679</v>
      </c>
      <c r="D563" s="1476" t="s">
        <v>680</v>
      </c>
      <c r="E563" s="535">
        <v>60000</v>
      </c>
      <c r="F563" s="535">
        <v>60000</v>
      </c>
      <c r="G563" s="535">
        <v>60000</v>
      </c>
      <c r="H563" s="629">
        <f t="shared" si="205"/>
        <v>1</v>
      </c>
      <c r="I563" s="647">
        <v>0</v>
      </c>
      <c r="J563" s="647">
        <f t="shared" si="223"/>
        <v>60000</v>
      </c>
      <c r="K563" s="603"/>
      <c r="L563" s="533">
        <f t="shared" si="209"/>
        <v>1</v>
      </c>
    </row>
    <row r="564" spans="1:12" ht="38.25">
      <c r="A564" s="1228"/>
      <c r="B564" s="3266"/>
      <c r="C564" s="1477" t="s">
        <v>681</v>
      </c>
      <c r="D564" s="1357" t="s">
        <v>682</v>
      </c>
      <c r="E564" s="535">
        <v>1000</v>
      </c>
      <c r="F564" s="535">
        <v>1000</v>
      </c>
      <c r="G564" s="535">
        <v>1000</v>
      </c>
      <c r="H564" s="629">
        <f t="shared" si="205"/>
        <v>1</v>
      </c>
      <c r="I564" s="647">
        <v>0</v>
      </c>
      <c r="J564" s="647">
        <f t="shared" si="223"/>
        <v>1000</v>
      </c>
      <c r="K564" s="603"/>
      <c r="L564" s="533">
        <f t="shared" si="209"/>
        <v>1</v>
      </c>
    </row>
    <row r="565" spans="1:12" ht="18.75" customHeight="1">
      <c r="A565" s="1228"/>
      <c r="B565" s="3266"/>
      <c r="C565" s="1154" t="s">
        <v>683</v>
      </c>
      <c r="D565" s="1253" t="s">
        <v>342</v>
      </c>
      <c r="E565" s="535">
        <v>0</v>
      </c>
      <c r="F565" s="535">
        <v>100</v>
      </c>
      <c r="G565" s="535">
        <v>200</v>
      </c>
      <c r="H565" s="629"/>
      <c r="I565" s="647">
        <v>0</v>
      </c>
      <c r="J565" s="647">
        <f t="shared" si="223"/>
        <v>200</v>
      </c>
      <c r="K565" s="603"/>
      <c r="L565" s="533">
        <f t="shared" si="209"/>
        <v>2</v>
      </c>
    </row>
    <row r="566" spans="1:12" ht="25.5" hidden="1">
      <c r="A566" s="1228"/>
      <c r="B566" s="3267"/>
      <c r="C566" s="1477" t="s">
        <v>684</v>
      </c>
      <c r="D566" s="1478" t="s">
        <v>342</v>
      </c>
      <c r="E566" s="535">
        <v>100</v>
      </c>
      <c r="F566" s="535">
        <v>0</v>
      </c>
      <c r="G566" s="535">
        <v>0</v>
      </c>
      <c r="H566" s="629">
        <f t="shared" si="205"/>
        <v>0</v>
      </c>
      <c r="I566" s="647">
        <v>0</v>
      </c>
      <c r="J566" s="647">
        <f t="shared" si="223"/>
        <v>0</v>
      </c>
      <c r="K566" s="603"/>
      <c r="L566" s="533"/>
    </row>
    <row r="567" spans="1:12" ht="16.5" customHeight="1" thickBot="1">
      <c r="A567" s="1228"/>
      <c r="B567" s="3236" t="s">
        <v>343</v>
      </c>
      <c r="C567" s="3236"/>
      <c r="D567" s="1137"/>
      <c r="E567" s="573">
        <v>0</v>
      </c>
      <c r="F567" s="573">
        <v>0</v>
      </c>
      <c r="G567" s="573">
        <v>0</v>
      </c>
      <c r="H567" s="797"/>
      <c r="I567" s="573">
        <v>0</v>
      </c>
      <c r="J567" s="573">
        <v>0</v>
      </c>
      <c r="K567" s="798"/>
      <c r="L567" s="576"/>
    </row>
    <row r="568" spans="1:12" ht="26.25" thickBot="1">
      <c r="A568" s="1228"/>
      <c r="B568" s="1170">
        <v>90024</v>
      </c>
      <c r="C568" s="1158" t="s">
        <v>685</v>
      </c>
      <c r="D568" s="1335"/>
      <c r="E568" s="518">
        <f t="shared" ref="E568:G568" si="224">SUM(E573,E569)</f>
        <v>1050</v>
      </c>
      <c r="F568" s="518">
        <f t="shared" si="224"/>
        <v>1050</v>
      </c>
      <c r="G568" s="518">
        <f t="shared" si="224"/>
        <v>1300</v>
      </c>
      <c r="H568" s="616">
        <f t="shared" si="205"/>
        <v>1.2380952380952381</v>
      </c>
      <c r="I568" s="518">
        <f t="shared" ref="I568:J568" si="225">SUM(I573,I569)</f>
        <v>0</v>
      </c>
      <c r="J568" s="518">
        <f t="shared" si="225"/>
        <v>1300</v>
      </c>
      <c r="K568" s="552"/>
      <c r="L568" s="553">
        <f t="shared" si="209"/>
        <v>1.2380952380952381</v>
      </c>
    </row>
    <row r="569" spans="1:12">
      <c r="A569" s="1228"/>
      <c r="B569" s="3225" t="s">
        <v>338</v>
      </c>
      <c r="C569" s="3226"/>
      <c r="D569" s="1171"/>
      <c r="E569" s="524">
        <f>SUM(E570:E572)</f>
        <v>1050</v>
      </c>
      <c r="F569" s="524">
        <f t="shared" ref="F569:G569" si="226">SUM(F570:F572)</f>
        <v>1050</v>
      </c>
      <c r="G569" s="524">
        <f t="shared" si="226"/>
        <v>1300</v>
      </c>
      <c r="H569" s="800">
        <f t="shared" si="205"/>
        <v>1.2380952380952381</v>
      </c>
      <c r="I569" s="524">
        <f t="shared" ref="I569:J569" si="227">SUM(I570:I572)</f>
        <v>0</v>
      </c>
      <c r="J569" s="524">
        <f t="shared" si="227"/>
        <v>1300</v>
      </c>
      <c r="K569" s="931"/>
      <c r="L569" s="556">
        <f t="shared" si="209"/>
        <v>1.2380952380952381</v>
      </c>
    </row>
    <row r="570" spans="1:12" ht="15" customHeight="1">
      <c r="A570" s="1228"/>
      <c r="B570" s="3257"/>
      <c r="C570" s="3260" t="s">
        <v>686</v>
      </c>
      <c r="D570" s="1301" t="s">
        <v>680</v>
      </c>
      <c r="E570" s="535">
        <v>0</v>
      </c>
      <c r="F570" s="535">
        <v>0</v>
      </c>
      <c r="G570" s="535">
        <v>100</v>
      </c>
      <c r="H570" s="629"/>
      <c r="I570" s="647">
        <v>0</v>
      </c>
      <c r="J570" s="647">
        <f t="shared" ref="J570:J572" si="228">G570+I570</f>
        <v>100</v>
      </c>
      <c r="K570" s="532"/>
      <c r="L570" s="533"/>
    </row>
    <row r="571" spans="1:12" s="1309" customFormat="1" ht="14.25" customHeight="1">
      <c r="A571" s="1228"/>
      <c r="B571" s="3258"/>
      <c r="C571" s="3261"/>
      <c r="D571" s="1357" t="s">
        <v>355</v>
      </c>
      <c r="E571" s="535">
        <v>1000</v>
      </c>
      <c r="F571" s="535">
        <v>1000</v>
      </c>
      <c r="G571" s="535">
        <v>1000</v>
      </c>
      <c r="H571" s="629">
        <f t="shared" si="205"/>
        <v>1</v>
      </c>
      <c r="I571" s="647">
        <v>0</v>
      </c>
      <c r="J571" s="647">
        <f t="shared" si="228"/>
        <v>1000</v>
      </c>
      <c r="K571" s="532"/>
      <c r="L571" s="533">
        <f t="shared" si="209"/>
        <v>1</v>
      </c>
    </row>
    <row r="572" spans="1:12" s="1309" customFormat="1" ht="16.5" customHeight="1">
      <c r="A572" s="1228"/>
      <c r="B572" s="3259"/>
      <c r="C572" s="3262"/>
      <c r="D572" s="1357" t="s">
        <v>342</v>
      </c>
      <c r="E572" s="535">
        <v>50</v>
      </c>
      <c r="F572" s="535">
        <v>50</v>
      </c>
      <c r="G572" s="535">
        <v>200</v>
      </c>
      <c r="H572" s="629">
        <f t="shared" si="205"/>
        <v>4</v>
      </c>
      <c r="I572" s="647">
        <v>0</v>
      </c>
      <c r="J572" s="647">
        <f t="shared" si="228"/>
        <v>200</v>
      </c>
      <c r="K572" s="532"/>
      <c r="L572" s="533">
        <f t="shared" si="209"/>
        <v>4</v>
      </c>
    </row>
    <row r="573" spans="1:12" s="1309" customFormat="1" ht="16.5" customHeight="1" thickBot="1">
      <c r="A573" s="1228"/>
      <c r="B573" s="3236" t="s">
        <v>343</v>
      </c>
      <c r="C573" s="3236"/>
      <c r="D573" s="1137"/>
      <c r="E573" s="605">
        <v>0</v>
      </c>
      <c r="F573" s="605">
        <v>0</v>
      </c>
      <c r="G573" s="605">
        <v>0</v>
      </c>
      <c r="H573" s="810"/>
      <c r="I573" s="605">
        <v>0</v>
      </c>
      <c r="J573" s="605">
        <v>0</v>
      </c>
      <c r="K573" s="670"/>
      <c r="L573" s="576"/>
    </row>
    <row r="574" spans="1:12" s="955" customFormat="1" ht="15.75" thickBot="1">
      <c r="A574" s="3255"/>
      <c r="B574" s="1479">
        <v>90026</v>
      </c>
      <c r="C574" s="1097" t="s">
        <v>687</v>
      </c>
      <c r="D574" s="1098"/>
      <c r="E574" s="656">
        <f>E575+E577</f>
        <v>150000</v>
      </c>
      <c r="F574" s="656">
        <f t="shared" ref="F574:G574" si="229">F575+F577</f>
        <v>150000</v>
      </c>
      <c r="G574" s="656">
        <f t="shared" si="229"/>
        <v>100000</v>
      </c>
      <c r="H574" s="657">
        <f t="shared" si="205"/>
        <v>0.66666666666666663</v>
      </c>
      <c r="I574" s="656">
        <f t="shared" ref="I574:J574" si="230">I575+I577</f>
        <v>0</v>
      </c>
      <c r="J574" s="656">
        <f t="shared" si="230"/>
        <v>100000</v>
      </c>
      <c r="K574" s="658"/>
      <c r="L574" s="553">
        <f t="shared" si="209"/>
        <v>0.66666666666666663</v>
      </c>
    </row>
    <row r="575" spans="1:12" s="955" customFormat="1">
      <c r="A575" s="3255"/>
      <c r="B575" s="3263" t="s">
        <v>338</v>
      </c>
      <c r="C575" s="3263"/>
      <c r="D575" s="1100"/>
      <c r="E575" s="524">
        <f>E576</f>
        <v>150000</v>
      </c>
      <c r="F575" s="524">
        <f t="shared" ref="F575:J575" si="231">F576</f>
        <v>150000</v>
      </c>
      <c r="G575" s="524">
        <f t="shared" si="231"/>
        <v>100000</v>
      </c>
      <c r="H575" s="1101">
        <f t="shared" si="205"/>
        <v>0.66666666666666663</v>
      </c>
      <c r="I575" s="524">
        <f t="shared" si="231"/>
        <v>0</v>
      </c>
      <c r="J575" s="524">
        <f t="shared" si="231"/>
        <v>100000</v>
      </c>
      <c r="K575" s="931"/>
      <c r="L575" s="556">
        <f t="shared" si="209"/>
        <v>0.66666666666666663</v>
      </c>
    </row>
    <row r="576" spans="1:12" s="1309" customFormat="1" ht="38.25">
      <c r="A576" s="3255"/>
      <c r="B576" s="1480"/>
      <c r="C576" s="1481" t="s">
        <v>688</v>
      </c>
      <c r="D576" s="1357" t="s">
        <v>355</v>
      </c>
      <c r="E576" s="529">
        <v>150000</v>
      </c>
      <c r="F576" s="529">
        <v>150000</v>
      </c>
      <c r="G576" s="529">
        <v>100000</v>
      </c>
      <c r="H576" s="1421">
        <f t="shared" si="205"/>
        <v>0.66666666666666663</v>
      </c>
      <c r="I576" s="1422">
        <v>0</v>
      </c>
      <c r="J576" s="647">
        <f t="shared" ref="J576" si="232">G576+I576</f>
        <v>100000</v>
      </c>
      <c r="K576" s="668"/>
      <c r="L576" s="533">
        <f t="shared" si="209"/>
        <v>0.66666666666666663</v>
      </c>
    </row>
    <row r="577" spans="1:12" s="1309" customFormat="1" ht="14.25" customHeight="1" thickBot="1">
      <c r="A577" s="3255"/>
      <c r="B577" s="3264" t="s">
        <v>343</v>
      </c>
      <c r="C577" s="3264"/>
      <c r="D577" s="1137"/>
      <c r="E577" s="605">
        <v>0</v>
      </c>
      <c r="F577" s="605">
        <v>0</v>
      </c>
      <c r="G577" s="605">
        <v>0</v>
      </c>
      <c r="H577" s="669"/>
      <c r="I577" s="605">
        <v>0</v>
      </c>
      <c r="J577" s="605">
        <v>0</v>
      </c>
      <c r="K577" s="670"/>
      <c r="L577" s="541"/>
    </row>
    <row r="578" spans="1:12" s="1309" customFormat="1" ht="3" hidden="1" customHeight="1" thickBot="1">
      <c r="A578" s="3255"/>
      <c r="B578" s="1479">
        <v>90095</v>
      </c>
      <c r="C578" s="1097" t="s">
        <v>11</v>
      </c>
      <c r="D578" s="1098"/>
      <c r="E578" s="656"/>
      <c r="F578" s="1163"/>
      <c r="G578" s="1163"/>
      <c r="H578" s="1482" t="e">
        <f t="shared" si="205"/>
        <v>#DIV/0!</v>
      </c>
      <c r="I578" s="1163"/>
      <c r="J578" s="1163"/>
      <c r="K578" s="617"/>
      <c r="L578" s="563" t="e">
        <f t="shared" si="209"/>
        <v>#DIV/0!</v>
      </c>
    </row>
    <row r="579" spans="1:12" s="1309" customFormat="1" ht="15.75" hidden="1" thickBot="1">
      <c r="A579" s="3255"/>
      <c r="B579" s="3243" t="s">
        <v>338</v>
      </c>
      <c r="C579" s="3243"/>
      <c r="D579" s="1100"/>
      <c r="E579" s="524"/>
      <c r="F579" s="956"/>
      <c r="G579" s="956"/>
      <c r="H579" s="957" t="e">
        <f t="shared" si="205"/>
        <v>#DIV/0!</v>
      </c>
      <c r="I579" s="956"/>
      <c r="J579" s="956"/>
      <c r="K579" s="801"/>
      <c r="L579" s="563" t="e">
        <f t="shared" si="209"/>
        <v>#DIV/0!</v>
      </c>
    </row>
    <row r="580" spans="1:12" s="1309" customFormat="1" ht="15.75" hidden="1" thickBot="1">
      <c r="A580" s="3255"/>
      <c r="B580" s="3227"/>
      <c r="C580" s="1300" t="s">
        <v>689</v>
      </c>
      <c r="D580" s="1483"/>
      <c r="E580" s="529"/>
      <c r="F580" s="1040"/>
      <c r="G580" s="1040"/>
      <c r="H580" s="1484" t="e">
        <f t="shared" si="205"/>
        <v>#DIV/0!</v>
      </c>
      <c r="I580" s="1040"/>
      <c r="J580" s="1040"/>
      <c r="K580" s="1041"/>
      <c r="L580" s="563" t="e">
        <f t="shared" si="209"/>
        <v>#DIV/0!</v>
      </c>
    </row>
    <row r="581" spans="1:12" s="1309" customFormat="1" ht="39" hidden="1" thickBot="1">
      <c r="A581" s="3255"/>
      <c r="B581" s="3228"/>
      <c r="C581" s="1300" t="s">
        <v>690</v>
      </c>
      <c r="D581" s="1483"/>
      <c r="E581" s="529"/>
      <c r="F581" s="1040"/>
      <c r="G581" s="1040"/>
      <c r="H581" s="1484" t="e">
        <f t="shared" ref="H581:H638" si="233">G581/E581</f>
        <v>#DIV/0!</v>
      </c>
      <c r="I581" s="1040"/>
      <c r="J581" s="1040"/>
      <c r="K581" s="1041"/>
      <c r="L581" s="563" t="e">
        <f t="shared" si="209"/>
        <v>#DIV/0!</v>
      </c>
    </row>
    <row r="582" spans="1:12" s="955" customFormat="1" ht="39" hidden="1" thickBot="1">
      <c r="A582" s="3255"/>
      <c r="B582" s="3229"/>
      <c r="C582" s="1300" t="s">
        <v>691</v>
      </c>
      <c r="D582" s="1136"/>
      <c r="E582" s="529"/>
      <c r="F582" s="1040"/>
      <c r="G582" s="1040"/>
      <c r="H582" s="1484" t="e">
        <f t="shared" si="233"/>
        <v>#DIV/0!</v>
      </c>
      <c r="I582" s="1040"/>
      <c r="J582" s="1040"/>
      <c r="K582" s="1041"/>
      <c r="L582" s="563" t="e">
        <f t="shared" si="209"/>
        <v>#DIV/0!</v>
      </c>
    </row>
    <row r="583" spans="1:12" s="1309" customFormat="1" ht="15.75" hidden="1" thickBot="1">
      <c r="A583" s="3256"/>
      <c r="B583" s="3247" t="s">
        <v>343</v>
      </c>
      <c r="C583" s="3247"/>
      <c r="D583" s="1105"/>
      <c r="E583" s="677"/>
      <c r="F583" s="710"/>
      <c r="G583" s="710"/>
      <c r="H583" s="711" t="e">
        <f t="shared" si="233"/>
        <v>#DIV/0!</v>
      </c>
      <c r="I583" s="710"/>
      <c r="J583" s="710"/>
      <c r="K583" s="1169"/>
      <c r="L583" s="549" t="e">
        <f t="shared" si="209"/>
        <v>#DIV/0!</v>
      </c>
    </row>
    <row r="584" spans="1:12" s="1309" customFormat="1" ht="15.75" thickBot="1">
      <c r="A584" s="1124">
        <v>921</v>
      </c>
      <c r="B584" s="1125"/>
      <c r="C584" s="1126" t="s">
        <v>282</v>
      </c>
      <c r="D584" s="1127"/>
      <c r="E584" s="1316">
        <f>SUM(E591,E598,E603,E617,E623,E631,E612,E585)</f>
        <v>4195605</v>
      </c>
      <c r="F584" s="1316">
        <f>SUM(F591,F598,F603,F617,F623,F631,F612,F585)</f>
        <v>4517727</v>
      </c>
      <c r="G584" s="1316">
        <f>SUM(G591,G598,G603,G617,G623,G631,G612,G585)</f>
        <v>4377727</v>
      </c>
      <c r="H584" s="986">
        <f t="shared" si="233"/>
        <v>1.0434078041188339</v>
      </c>
      <c r="I584" s="1316">
        <f>SUM(I591,I598,I603,I617,I623,I631,I612,I585)</f>
        <v>0</v>
      </c>
      <c r="J584" s="1316">
        <f>SUM(J591,J598,J603,J617,J623,J631,J612,J585)</f>
        <v>4377727</v>
      </c>
      <c r="K584" s="1094"/>
      <c r="L584" s="643">
        <f t="shared" si="209"/>
        <v>0.96901096502732453</v>
      </c>
    </row>
    <row r="585" spans="1:12" s="1309" customFormat="1" ht="14.25" hidden="1" customHeight="1" thickBot="1">
      <c r="A585" s="1321"/>
      <c r="B585" s="1130">
        <v>92105</v>
      </c>
      <c r="C585" s="1131" t="s">
        <v>692</v>
      </c>
      <c r="D585" s="1132"/>
      <c r="E585" s="1110">
        <f>E586+E590</f>
        <v>0</v>
      </c>
      <c r="F585" s="1110">
        <f>F586+F590</f>
        <v>0</v>
      </c>
      <c r="G585" s="812">
        <f>G586+G590</f>
        <v>0</v>
      </c>
      <c r="H585" s="616" t="e">
        <f t="shared" si="233"/>
        <v>#DIV/0!</v>
      </c>
      <c r="I585" s="812">
        <f>I586+I590</f>
        <v>0</v>
      </c>
      <c r="J585" s="812">
        <f>J586+J590</f>
        <v>0</v>
      </c>
      <c r="K585" s="738"/>
      <c r="L585" s="772" t="e">
        <f t="shared" si="209"/>
        <v>#DIV/0!</v>
      </c>
    </row>
    <row r="586" spans="1:12" s="1309" customFormat="1" ht="15.75" hidden="1" thickBot="1">
      <c r="A586" s="1321"/>
      <c r="B586" s="3225" t="s">
        <v>338</v>
      </c>
      <c r="C586" s="3226"/>
      <c r="D586" s="1319"/>
      <c r="E586" s="1164">
        <f>SUM(E587:E589)</f>
        <v>0</v>
      </c>
      <c r="F586" s="1164">
        <f t="shared" ref="F586:G586" si="234">SUM(F587:F589)</f>
        <v>0</v>
      </c>
      <c r="G586" s="813">
        <f t="shared" si="234"/>
        <v>0</v>
      </c>
      <c r="H586" s="813" t="e">
        <f t="shared" si="233"/>
        <v>#DIV/0!</v>
      </c>
      <c r="I586" s="813">
        <f t="shared" ref="I586:J586" si="235">SUM(I587:I589)</f>
        <v>0</v>
      </c>
      <c r="J586" s="813">
        <f t="shared" si="235"/>
        <v>0</v>
      </c>
      <c r="K586" s="1485"/>
      <c r="L586" s="563" t="e">
        <f t="shared" si="209"/>
        <v>#DIV/0!</v>
      </c>
    </row>
    <row r="587" spans="1:12" s="1309" customFormat="1" ht="17.25" hidden="1" customHeight="1">
      <c r="A587" s="1321"/>
      <c r="B587" s="3251"/>
      <c r="C587" s="1361" t="s">
        <v>693</v>
      </c>
      <c r="D587" s="1486" t="s">
        <v>378</v>
      </c>
      <c r="E587" s="600">
        <v>0</v>
      </c>
      <c r="F587" s="600">
        <v>0</v>
      </c>
      <c r="G587" s="816">
        <v>0</v>
      </c>
      <c r="H587" s="1487" t="e">
        <f t="shared" si="233"/>
        <v>#DIV/0!</v>
      </c>
      <c r="I587" s="816">
        <v>0</v>
      </c>
      <c r="J587" s="816">
        <v>0</v>
      </c>
      <c r="K587" s="1488"/>
      <c r="L587" s="563" t="e">
        <f t="shared" ref="L587:L650" si="236">J587/F587</f>
        <v>#DIV/0!</v>
      </c>
    </row>
    <row r="588" spans="1:12" s="1309" customFormat="1" ht="15.75" hidden="1" customHeight="1">
      <c r="A588" s="1321"/>
      <c r="B588" s="3245"/>
      <c r="C588" s="1489" t="s">
        <v>694</v>
      </c>
      <c r="D588" s="1486" t="s">
        <v>359</v>
      </c>
      <c r="E588" s="594">
        <v>0</v>
      </c>
      <c r="F588" s="594">
        <v>0</v>
      </c>
      <c r="G588" s="628">
        <v>0</v>
      </c>
      <c r="H588" s="1490" t="e">
        <f t="shared" si="233"/>
        <v>#DIV/0!</v>
      </c>
      <c r="I588" s="628">
        <v>0</v>
      </c>
      <c r="J588" s="628">
        <v>0</v>
      </c>
      <c r="K588" s="1491"/>
      <c r="L588" s="563" t="e">
        <f t="shared" si="236"/>
        <v>#DIV/0!</v>
      </c>
    </row>
    <row r="589" spans="1:12" s="1309" customFormat="1" ht="43.5" hidden="1" customHeight="1">
      <c r="A589" s="1321"/>
      <c r="B589" s="3246"/>
      <c r="C589" s="1285" t="s">
        <v>695</v>
      </c>
      <c r="D589" s="1166" t="s">
        <v>396</v>
      </c>
      <c r="E589" s="1018">
        <v>0</v>
      </c>
      <c r="F589" s="1018">
        <v>0</v>
      </c>
      <c r="G589" s="1492">
        <v>0</v>
      </c>
      <c r="H589" s="761" t="e">
        <f t="shared" si="233"/>
        <v>#DIV/0!</v>
      </c>
      <c r="I589" s="1492">
        <v>0</v>
      </c>
      <c r="J589" s="1492">
        <v>0</v>
      </c>
      <c r="K589" s="636"/>
      <c r="L589" s="563" t="e">
        <f t="shared" si="236"/>
        <v>#DIV/0!</v>
      </c>
    </row>
    <row r="590" spans="1:12" s="1309" customFormat="1" ht="15" hidden="1" customHeight="1" thickBot="1">
      <c r="A590" s="1321"/>
      <c r="B590" s="3230" t="s">
        <v>343</v>
      </c>
      <c r="C590" s="3231"/>
      <c r="D590" s="1137"/>
      <c r="E590" s="879">
        <v>0</v>
      </c>
      <c r="F590" s="879">
        <v>0</v>
      </c>
      <c r="G590" s="637">
        <v>0</v>
      </c>
      <c r="H590" s="797" t="e">
        <f t="shared" si="233"/>
        <v>#DIV/0!</v>
      </c>
      <c r="I590" s="637">
        <v>0</v>
      </c>
      <c r="J590" s="637">
        <v>0</v>
      </c>
      <c r="K590" s="798"/>
      <c r="L590" s="563" t="e">
        <f t="shared" si="236"/>
        <v>#DIV/0!</v>
      </c>
    </row>
    <row r="591" spans="1:12" s="955" customFormat="1" ht="15.75" hidden="1" thickBot="1">
      <c r="A591" s="1321"/>
      <c r="B591" s="1130">
        <v>92106</v>
      </c>
      <c r="C591" s="1131" t="s">
        <v>696</v>
      </c>
      <c r="D591" s="1132"/>
      <c r="E591" s="1110">
        <f>E592+E596</f>
        <v>0</v>
      </c>
      <c r="F591" s="1110">
        <f>F592+F596</f>
        <v>0</v>
      </c>
      <c r="G591" s="812">
        <f>G592+G596</f>
        <v>0</v>
      </c>
      <c r="H591" s="616" t="e">
        <f t="shared" si="233"/>
        <v>#DIV/0!</v>
      </c>
      <c r="I591" s="812">
        <f>I592+I596</f>
        <v>0</v>
      </c>
      <c r="J591" s="812">
        <f>J592+J596</f>
        <v>0</v>
      </c>
      <c r="K591" s="738"/>
      <c r="L591" s="563" t="e">
        <f t="shared" si="236"/>
        <v>#DIV/0!</v>
      </c>
    </row>
    <row r="592" spans="1:12" s="1309" customFormat="1" ht="18" hidden="1" customHeight="1">
      <c r="A592" s="1321"/>
      <c r="B592" s="3225" t="s">
        <v>338</v>
      </c>
      <c r="C592" s="3226"/>
      <c r="D592" s="1337"/>
      <c r="E592" s="956">
        <f>SUM(E593:E595)</f>
        <v>0</v>
      </c>
      <c r="F592" s="956">
        <f t="shared" ref="F592:G592" si="237">SUM(F593:F595)</f>
        <v>0</v>
      </c>
      <c r="G592" s="1029">
        <f t="shared" si="237"/>
        <v>0</v>
      </c>
      <c r="H592" s="800" t="e">
        <f t="shared" si="233"/>
        <v>#DIV/0!</v>
      </c>
      <c r="I592" s="1029">
        <f t="shared" ref="I592:J592" si="238">SUM(I593:I595)</f>
        <v>0</v>
      </c>
      <c r="J592" s="1029">
        <f t="shared" si="238"/>
        <v>0</v>
      </c>
      <c r="K592" s="801"/>
      <c r="L592" s="563" t="e">
        <f t="shared" si="236"/>
        <v>#DIV/0!</v>
      </c>
    </row>
    <row r="593" spans="1:12" s="1309" customFormat="1" ht="16.5" hidden="1" customHeight="1">
      <c r="A593" s="1321"/>
      <c r="B593" s="3251"/>
      <c r="C593" s="1493" t="s">
        <v>697</v>
      </c>
      <c r="D593" s="1486" t="s">
        <v>378</v>
      </c>
      <c r="E593" s="600">
        <v>0</v>
      </c>
      <c r="F593" s="600">
        <v>0</v>
      </c>
      <c r="G593" s="816">
        <v>0</v>
      </c>
      <c r="H593" s="1487" t="e">
        <f t="shared" si="233"/>
        <v>#DIV/0!</v>
      </c>
      <c r="I593" s="816">
        <v>0</v>
      </c>
      <c r="J593" s="816">
        <v>0</v>
      </c>
      <c r="K593" s="1488"/>
      <c r="L593" s="563" t="e">
        <f t="shared" si="236"/>
        <v>#DIV/0!</v>
      </c>
    </row>
    <row r="594" spans="1:12" s="955" customFormat="1" ht="39" hidden="1" thickBot="1">
      <c r="A594" s="1321"/>
      <c r="B594" s="3245"/>
      <c r="C594" s="1160" t="s">
        <v>698</v>
      </c>
      <c r="D594" s="1161" t="s">
        <v>394</v>
      </c>
      <c r="E594" s="600">
        <v>0</v>
      </c>
      <c r="F594" s="600">
        <v>0</v>
      </c>
      <c r="G594" s="816">
        <v>0</v>
      </c>
      <c r="H594" s="629" t="e">
        <f t="shared" si="233"/>
        <v>#DIV/0!</v>
      </c>
      <c r="I594" s="816">
        <v>0</v>
      </c>
      <c r="J594" s="816">
        <v>0</v>
      </c>
      <c r="K594" s="603"/>
      <c r="L594" s="563" t="e">
        <f t="shared" si="236"/>
        <v>#DIV/0!</v>
      </c>
    </row>
    <row r="595" spans="1:12" s="1309" customFormat="1" ht="15.75" hidden="1" thickBot="1">
      <c r="A595" s="1321"/>
      <c r="B595" s="3252"/>
      <c r="C595" s="1494" t="s">
        <v>699</v>
      </c>
      <c r="D595" s="1495" t="s">
        <v>396</v>
      </c>
      <c r="E595" s="1496">
        <v>0</v>
      </c>
      <c r="F595" s="1496">
        <v>0</v>
      </c>
      <c r="G595" s="790">
        <v>0</v>
      </c>
      <c r="H595" s="767" t="e">
        <f t="shared" si="233"/>
        <v>#DIV/0!</v>
      </c>
      <c r="I595" s="790">
        <v>0</v>
      </c>
      <c r="J595" s="790">
        <v>0</v>
      </c>
      <c r="K595" s="769"/>
      <c r="L595" s="563" t="e">
        <f t="shared" si="236"/>
        <v>#DIV/0!</v>
      </c>
    </row>
    <row r="596" spans="1:12" s="1309" customFormat="1" ht="22.5" hidden="1" customHeight="1">
      <c r="A596" s="1321"/>
      <c r="B596" s="3253" t="s">
        <v>382</v>
      </c>
      <c r="C596" s="3224"/>
      <c r="D596" s="1171"/>
      <c r="E596" s="710">
        <f>E597</f>
        <v>0</v>
      </c>
      <c r="F596" s="710">
        <f t="shared" ref="F596:J596" si="239">F597</f>
        <v>0</v>
      </c>
      <c r="G596" s="1497">
        <f t="shared" si="239"/>
        <v>0</v>
      </c>
      <c r="H596" s="1000" t="e">
        <f t="shared" si="233"/>
        <v>#DIV/0!</v>
      </c>
      <c r="I596" s="1497">
        <f t="shared" si="239"/>
        <v>0</v>
      </c>
      <c r="J596" s="1497">
        <f t="shared" si="239"/>
        <v>0</v>
      </c>
      <c r="K596" s="1169"/>
      <c r="L596" s="563" t="e">
        <f t="shared" si="236"/>
        <v>#DIV/0!</v>
      </c>
    </row>
    <row r="597" spans="1:12" s="1309" customFormat="1" ht="15" hidden="1" customHeight="1" thickBot="1">
      <c r="A597" s="1321"/>
      <c r="B597" s="1498"/>
      <c r="C597" s="1322" t="s">
        <v>699</v>
      </c>
      <c r="D597" s="1323">
        <v>6690</v>
      </c>
      <c r="E597" s="980">
        <v>0</v>
      </c>
      <c r="F597" s="980">
        <v>0</v>
      </c>
      <c r="G597" s="1324">
        <v>0</v>
      </c>
      <c r="H597" s="981" t="e">
        <f t="shared" si="233"/>
        <v>#DIV/0!</v>
      </c>
      <c r="I597" s="1324">
        <v>0</v>
      </c>
      <c r="J597" s="1324">
        <v>0</v>
      </c>
      <c r="K597" s="982"/>
      <c r="L597" s="549" t="e">
        <f t="shared" si="236"/>
        <v>#DIV/0!</v>
      </c>
    </row>
    <row r="598" spans="1:12" s="1309" customFormat="1" ht="15.75" hidden="1" thickBot="1">
      <c r="A598" s="1321"/>
      <c r="B598" s="1130">
        <v>92108</v>
      </c>
      <c r="C598" s="1131" t="s">
        <v>700</v>
      </c>
      <c r="D598" s="1132"/>
      <c r="E598" s="812">
        <f t="shared" ref="E598:G598" si="240">E599+E601</f>
        <v>0</v>
      </c>
      <c r="F598" s="812">
        <f t="shared" si="240"/>
        <v>50000</v>
      </c>
      <c r="G598" s="812">
        <f t="shared" si="240"/>
        <v>0</v>
      </c>
      <c r="H598" s="616"/>
      <c r="I598" s="812">
        <f t="shared" ref="I598:J598" si="241">I599+I601</f>
        <v>0</v>
      </c>
      <c r="J598" s="812">
        <f t="shared" si="241"/>
        <v>0</v>
      </c>
      <c r="K598" s="738"/>
      <c r="L598" s="553">
        <f t="shared" si="236"/>
        <v>0</v>
      </c>
    </row>
    <row r="599" spans="1:12" s="1309" customFormat="1" ht="18" hidden="1" customHeight="1">
      <c r="A599" s="1321"/>
      <c r="B599" s="3225" t="s">
        <v>338</v>
      </c>
      <c r="C599" s="3244"/>
      <c r="D599" s="1337"/>
      <c r="E599" s="1029">
        <f>E600</f>
        <v>0</v>
      </c>
      <c r="F599" s="1029">
        <f t="shared" ref="F599:J599" si="242">F600</f>
        <v>50000</v>
      </c>
      <c r="G599" s="1029">
        <f t="shared" si="242"/>
        <v>0</v>
      </c>
      <c r="H599" s="800"/>
      <c r="I599" s="1029">
        <f t="shared" si="242"/>
        <v>0</v>
      </c>
      <c r="J599" s="1029">
        <f t="shared" si="242"/>
        <v>0</v>
      </c>
      <c r="K599" s="801"/>
      <c r="L599" s="556">
        <f t="shared" si="236"/>
        <v>0</v>
      </c>
    </row>
    <row r="600" spans="1:12" s="1309" customFormat="1" ht="39" hidden="1" thickBot="1">
      <c r="A600" s="1321"/>
      <c r="B600" s="1499"/>
      <c r="C600" s="1165" t="s">
        <v>698</v>
      </c>
      <c r="D600" s="1161" t="s">
        <v>394</v>
      </c>
      <c r="E600" s="816">
        <v>0</v>
      </c>
      <c r="F600" s="816">
        <v>50000</v>
      </c>
      <c r="G600" s="816">
        <v>0</v>
      </c>
      <c r="H600" s="629"/>
      <c r="I600" s="647">
        <v>0</v>
      </c>
      <c r="J600" s="647">
        <f t="shared" ref="J600" si="243">G600+I600</f>
        <v>0</v>
      </c>
      <c r="K600" s="603"/>
      <c r="L600" s="533">
        <f t="shared" si="236"/>
        <v>0</v>
      </c>
    </row>
    <row r="601" spans="1:12" s="1309" customFormat="1" ht="15.75" hidden="1" customHeight="1">
      <c r="A601" s="1321"/>
      <c r="B601" s="3249" t="s">
        <v>382</v>
      </c>
      <c r="C601" s="3254"/>
      <c r="D601" s="1339"/>
      <c r="E601" s="619">
        <f>E602</f>
        <v>0</v>
      </c>
      <c r="F601" s="1340">
        <f t="shared" ref="F601:G601" si="244">F602</f>
        <v>0</v>
      </c>
      <c r="G601" s="1340">
        <f t="shared" si="244"/>
        <v>0</v>
      </c>
      <c r="H601" s="620" t="e">
        <f t="shared" si="233"/>
        <v>#DIV/0!</v>
      </c>
      <c r="I601" s="1346"/>
      <c r="J601" s="1346"/>
      <c r="K601" s="621"/>
      <c r="L601" s="563" t="e">
        <f t="shared" si="236"/>
        <v>#DIV/0!</v>
      </c>
    </row>
    <row r="602" spans="1:12" s="1309" customFormat="1" ht="15.75" hidden="1" customHeight="1" thickBot="1">
      <c r="A602" s="1321"/>
      <c r="B602" s="1349"/>
      <c r="C602" s="1400" t="s">
        <v>701</v>
      </c>
      <c r="D602" s="1224">
        <v>6660</v>
      </c>
      <c r="E602" s="628">
        <v>0</v>
      </c>
      <c r="F602" s="594">
        <v>0</v>
      </c>
      <c r="G602" s="594">
        <v>0</v>
      </c>
      <c r="H602" s="754" t="e">
        <f t="shared" si="233"/>
        <v>#DIV/0!</v>
      </c>
      <c r="I602" s="755"/>
      <c r="J602" s="755"/>
      <c r="K602" s="757"/>
      <c r="L602" s="563" t="e">
        <f t="shared" si="236"/>
        <v>#DIV/0!</v>
      </c>
    </row>
    <row r="603" spans="1:12" s="1309" customFormat="1" ht="3" hidden="1" customHeight="1" thickBot="1">
      <c r="A603" s="1321"/>
      <c r="B603" s="1162">
        <v>92109</v>
      </c>
      <c r="C603" s="1131" t="s">
        <v>702</v>
      </c>
      <c r="D603" s="1132"/>
      <c r="E603" s="615">
        <f>E604+E608</f>
        <v>0</v>
      </c>
      <c r="F603" s="1163">
        <f>F604+F608</f>
        <v>0</v>
      </c>
      <c r="G603" s="1163">
        <f>G604+G608</f>
        <v>0</v>
      </c>
      <c r="H603" s="781" t="e">
        <f t="shared" si="233"/>
        <v>#DIV/0!</v>
      </c>
      <c r="I603" s="1344"/>
      <c r="J603" s="1344"/>
      <c r="K603" s="617"/>
      <c r="L603" s="563" t="e">
        <f t="shared" si="236"/>
        <v>#DIV/0!</v>
      </c>
    </row>
    <row r="604" spans="1:12" s="1309" customFormat="1" ht="14.25" hidden="1" customHeight="1">
      <c r="A604" s="1321"/>
      <c r="B604" s="3225" t="s">
        <v>338</v>
      </c>
      <c r="C604" s="3244"/>
      <c r="D604" s="1337"/>
      <c r="E604" s="813">
        <f>SUM(E605:E607)</f>
        <v>0</v>
      </c>
      <c r="F604" s="1164">
        <f t="shared" ref="F604:G604" si="245">SUM(F605:F607)</f>
        <v>0</v>
      </c>
      <c r="G604" s="1164">
        <f t="shared" si="245"/>
        <v>0</v>
      </c>
      <c r="H604" s="741" t="e">
        <f t="shared" si="233"/>
        <v>#DIV/0!</v>
      </c>
      <c r="I604" s="1338"/>
      <c r="J604" s="1338"/>
      <c r="K604" s="742"/>
      <c r="L604" s="563" t="e">
        <f t="shared" si="236"/>
        <v>#DIV/0!</v>
      </c>
    </row>
    <row r="605" spans="1:12" s="1309" customFormat="1" ht="22.5" hidden="1" customHeight="1">
      <c r="A605" s="1321"/>
      <c r="B605" s="3245"/>
      <c r="C605" s="1400" t="s">
        <v>693</v>
      </c>
      <c r="D605" s="1161" t="s">
        <v>378</v>
      </c>
      <c r="E605" s="628">
        <v>0</v>
      </c>
      <c r="F605" s="594">
        <v>0</v>
      </c>
      <c r="G605" s="594">
        <v>0</v>
      </c>
      <c r="H605" s="1036" t="e">
        <f t="shared" si="233"/>
        <v>#DIV/0!</v>
      </c>
      <c r="I605" s="1037"/>
      <c r="J605" s="1037"/>
      <c r="K605" s="1038"/>
      <c r="L605" s="563" t="e">
        <f t="shared" si="236"/>
        <v>#DIV/0!</v>
      </c>
    </row>
    <row r="606" spans="1:12" s="1358" customFormat="1" ht="39" hidden="1" thickBot="1">
      <c r="A606" s="1321"/>
      <c r="B606" s="3245"/>
      <c r="C606" s="1489" t="s">
        <v>694</v>
      </c>
      <c r="D606" s="1136">
        <v>2910</v>
      </c>
      <c r="E606" s="837">
        <v>0</v>
      </c>
      <c r="F606" s="1040">
        <v>0</v>
      </c>
      <c r="G606" s="1040"/>
      <c r="H606" s="666" t="e">
        <f t="shared" si="233"/>
        <v>#DIV/0!</v>
      </c>
      <c r="I606" s="667"/>
      <c r="J606" s="667"/>
      <c r="K606" s="1041"/>
      <c r="L606" s="563" t="e">
        <f t="shared" si="236"/>
        <v>#DIV/0!</v>
      </c>
    </row>
    <row r="607" spans="1:12" s="564" customFormat="1" ht="15.75" hidden="1" thickBot="1">
      <c r="A607" s="1321"/>
      <c r="B607" s="3246"/>
      <c r="C607" s="1489" t="s">
        <v>699</v>
      </c>
      <c r="D607" s="1136">
        <v>2950</v>
      </c>
      <c r="E607" s="1043">
        <v>0</v>
      </c>
      <c r="F607" s="1347">
        <v>0</v>
      </c>
      <c r="G607" s="1347"/>
      <c r="H607" s="1044" t="e">
        <f t="shared" si="233"/>
        <v>#DIV/0!</v>
      </c>
      <c r="I607" s="1045"/>
      <c r="J607" s="1045"/>
      <c r="K607" s="1046"/>
      <c r="L607" s="563" t="e">
        <f t="shared" si="236"/>
        <v>#DIV/0!</v>
      </c>
    </row>
    <row r="608" spans="1:12" s="564" customFormat="1" ht="15.75" hidden="1" thickBot="1">
      <c r="A608" s="1321"/>
      <c r="B608" s="3223" t="s">
        <v>382</v>
      </c>
      <c r="C608" s="3247"/>
      <c r="D608" s="1105"/>
      <c r="E608" s="1500">
        <f>SUM(E609:E611)</f>
        <v>0</v>
      </c>
      <c r="F608" s="962">
        <f t="shared" ref="F608:G608" si="246">SUM(F609:F611)</f>
        <v>0</v>
      </c>
      <c r="G608" s="962">
        <f t="shared" si="246"/>
        <v>0</v>
      </c>
      <c r="H608" s="934" t="e">
        <f t="shared" si="233"/>
        <v>#DIV/0!</v>
      </c>
      <c r="I608" s="1501"/>
      <c r="J608" s="1501"/>
      <c r="K608" s="964"/>
      <c r="L608" s="563" t="e">
        <f t="shared" si="236"/>
        <v>#DIV/0!</v>
      </c>
    </row>
    <row r="609" spans="1:12" s="564" customFormat="1" ht="26.25" hidden="1" thickBot="1">
      <c r="A609" s="1321"/>
      <c r="B609" s="1326"/>
      <c r="C609" s="1502" t="s">
        <v>703</v>
      </c>
      <c r="D609" s="1406">
        <v>6660</v>
      </c>
      <c r="E609" s="837">
        <v>0</v>
      </c>
      <c r="F609" s="1040">
        <v>0</v>
      </c>
      <c r="G609" s="1040"/>
      <c r="H609" s="666" t="e">
        <f t="shared" si="233"/>
        <v>#DIV/0!</v>
      </c>
      <c r="I609" s="667"/>
      <c r="J609" s="667"/>
      <c r="K609" s="1041"/>
      <c r="L609" s="563" t="e">
        <f t="shared" si="236"/>
        <v>#DIV/0!</v>
      </c>
    </row>
    <row r="610" spans="1:12" s="564" customFormat="1" ht="16.5" hidden="1" customHeight="1" thickBot="1">
      <c r="A610" s="1438"/>
      <c r="B610" s="1268"/>
      <c r="C610" s="1503" t="s">
        <v>699</v>
      </c>
      <c r="D610" s="1504">
        <v>6690</v>
      </c>
      <c r="E610" s="1505">
        <v>0</v>
      </c>
      <c r="F610" s="980">
        <v>0</v>
      </c>
      <c r="G610" s="1506"/>
      <c r="H610" s="981" t="e">
        <f t="shared" si="233"/>
        <v>#DIV/0!</v>
      </c>
      <c r="I610" s="1314"/>
      <c r="J610" s="1314"/>
      <c r="K610" s="982"/>
      <c r="L610" s="563" t="e">
        <f t="shared" si="236"/>
        <v>#DIV/0!</v>
      </c>
    </row>
    <row r="611" spans="1:12" s="564" customFormat="1" ht="2.25" hidden="1" customHeight="1" thickBot="1">
      <c r="A611" s="1438"/>
      <c r="B611" s="1268"/>
      <c r="C611" s="1507"/>
      <c r="D611" s="1508" t="s">
        <v>594</v>
      </c>
      <c r="E611" s="778">
        <v>0</v>
      </c>
      <c r="F611" s="587">
        <v>0</v>
      </c>
      <c r="G611" s="587">
        <v>0</v>
      </c>
      <c r="H611" s="1070" t="e">
        <f t="shared" si="233"/>
        <v>#DIV/0!</v>
      </c>
      <c r="I611" s="1071"/>
      <c r="J611" s="1071"/>
      <c r="K611" s="1284"/>
      <c r="L611" s="563" t="e">
        <f t="shared" si="236"/>
        <v>#DIV/0!</v>
      </c>
    </row>
    <row r="612" spans="1:12" s="564" customFormat="1" ht="0.75" hidden="1" customHeight="1" thickBot="1">
      <c r="A612" s="1411"/>
      <c r="B612" s="1162">
        <v>92114</v>
      </c>
      <c r="C612" s="1131" t="s">
        <v>704</v>
      </c>
      <c r="D612" s="1132"/>
      <c r="E612" s="615">
        <f>E613+E615</f>
        <v>0</v>
      </c>
      <c r="F612" s="1163">
        <f t="shared" ref="F612:G612" si="247">F613+F615</f>
        <v>0</v>
      </c>
      <c r="G612" s="1163">
        <f t="shared" si="247"/>
        <v>0</v>
      </c>
      <c r="H612" s="781" t="e">
        <f t="shared" si="233"/>
        <v>#DIV/0!</v>
      </c>
      <c r="I612" s="1344"/>
      <c r="J612" s="1344"/>
      <c r="K612" s="617"/>
      <c r="L612" s="563" t="e">
        <f t="shared" si="236"/>
        <v>#DIV/0!</v>
      </c>
    </row>
    <row r="613" spans="1:12" s="564" customFormat="1" ht="15.75" hidden="1" thickBot="1">
      <c r="A613" s="1321"/>
      <c r="B613" s="3248" t="s">
        <v>338</v>
      </c>
      <c r="C613" s="3242"/>
      <c r="D613" s="1319"/>
      <c r="E613" s="1029">
        <f>E614</f>
        <v>0</v>
      </c>
      <c r="F613" s="956">
        <f t="shared" ref="F613:G613" si="248">F614</f>
        <v>0</v>
      </c>
      <c r="G613" s="956">
        <f t="shared" si="248"/>
        <v>0</v>
      </c>
      <c r="H613" s="800" t="e">
        <f t="shared" si="233"/>
        <v>#DIV/0!</v>
      </c>
      <c r="I613" s="1351"/>
      <c r="J613" s="1351"/>
      <c r="K613" s="801"/>
      <c r="L613" s="563" t="e">
        <f t="shared" si="236"/>
        <v>#DIV/0!</v>
      </c>
    </row>
    <row r="614" spans="1:12" s="564" customFormat="1" ht="42.75" hidden="1" customHeight="1">
      <c r="A614" s="1321"/>
      <c r="B614" s="1509"/>
      <c r="C614" s="1160" t="s">
        <v>699</v>
      </c>
      <c r="D614" s="1161" t="s">
        <v>396</v>
      </c>
      <c r="E614" s="816">
        <v>0</v>
      </c>
      <c r="F614" s="600">
        <v>0</v>
      </c>
      <c r="G614" s="600">
        <v>0</v>
      </c>
      <c r="H614" s="629" t="e">
        <f t="shared" si="233"/>
        <v>#DIV/0!</v>
      </c>
      <c r="I614" s="647"/>
      <c r="J614" s="647"/>
      <c r="K614" s="603"/>
      <c r="L614" s="563" t="e">
        <f t="shared" si="236"/>
        <v>#DIV/0!</v>
      </c>
    </row>
    <row r="615" spans="1:12" s="564" customFormat="1" ht="15.75" hidden="1" thickBot="1">
      <c r="A615" s="1321"/>
      <c r="B615" s="3249" t="s">
        <v>382</v>
      </c>
      <c r="C615" s="3250"/>
      <c r="D615" s="1339"/>
      <c r="E615" s="619">
        <f>E616</f>
        <v>0</v>
      </c>
      <c r="F615" s="1340">
        <f t="shared" ref="F615:G615" si="249">F616</f>
        <v>0</v>
      </c>
      <c r="G615" s="1340">
        <f t="shared" si="249"/>
        <v>0</v>
      </c>
      <c r="H615" s="620" t="e">
        <f t="shared" si="233"/>
        <v>#DIV/0!</v>
      </c>
      <c r="I615" s="1346"/>
      <c r="J615" s="1346"/>
      <c r="K615" s="621"/>
      <c r="L615" s="563" t="e">
        <f t="shared" si="236"/>
        <v>#DIV/0!</v>
      </c>
    </row>
    <row r="616" spans="1:12" s="564" customFormat="1" ht="21.75" hidden="1" customHeight="1" thickBot="1">
      <c r="A616" s="1321"/>
      <c r="B616" s="1510"/>
      <c r="C616" s="1511" t="s">
        <v>699</v>
      </c>
      <c r="D616" s="1512" t="s">
        <v>705</v>
      </c>
      <c r="E616" s="790">
        <v>0</v>
      </c>
      <c r="F616" s="1496">
        <v>0</v>
      </c>
      <c r="G616" s="1496"/>
      <c r="H616" s="767" t="e">
        <f t="shared" si="233"/>
        <v>#DIV/0!</v>
      </c>
      <c r="I616" s="768"/>
      <c r="J616" s="768"/>
      <c r="K616" s="769"/>
      <c r="L616" s="549" t="e">
        <f t="shared" si="236"/>
        <v>#DIV/0!</v>
      </c>
    </row>
    <row r="617" spans="1:12" s="564" customFormat="1" ht="15.75" thickBot="1">
      <c r="A617" s="1321"/>
      <c r="B617" s="1130">
        <v>92116</v>
      </c>
      <c r="C617" s="1131" t="s">
        <v>706</v>
      </c>
      <c r="D617" s="1132"/>
      <c r="E617" s="812">
        <f>SUM(E618,E621)</f>
        <v>4190605</v>
      </c>
      <c r="F617" s="812">
        <f t="shared" ref="F617" si="250">SUM(F618,F621)</f>
        <v>4462727</v>
      </c>
      <c r="G617" s="812">
        <f>SUM(G618,G621)</f>
        <v>4372727</v>
      </c>
      <c r="H617" s="616">
        <f t="shared" si="233"/>
        <v>1.0434595959294661</v>
      </c>
      <c r="I617" s="812">
        <f>SUM(I618,I621)</f>
        <v>0</v>
      </c>
      <c r="J617" s="812">
        <f>SUM(J618,J621)</f>
        <v>4372727</v>
      </c>
      <c r="K617" s="738"/>
      <c r="L617" s="553">
        <f t="shared" si="236"/>
        <v>0.97983295863717412</v>
      </c>
    </row>
    <row r="618" spans="1:12" s="564" customFormat="1">
      <c r="A618" s="1513"/>
      <c r="B618" s="3225" t="s">
        <v>338</v>
      </c>
      <c r="C618" s="3226"/>
      <c r="D618" s="1139"/>
      <c r="E618" s="1029">
        <f>SUM(E619:E620)</f>
        <v>4190605</v>
      </c>
      <c r="F618" s="1029">
        <f>SUM(F619:F620)</f>
        <v>4426727</v>
      </c>
      <c r="G618" s="1029">
        <f>SUM(G619:G620)</f>
        <v>4372727</v>
      </c>
      <c r="H618" s="800">
        <f t="shared" si="233"/>
        <v>1.0434595959294661</v>
      </c>
      <c r="I618" s="1029">
        <f>SUM(I619:I620)</f>
        <v>0</v>
      </c>
      <c r="J618" s="1029">
        <f>SUM(J619:J620)</f>
        <v>4372727</v>
      </c>
      <c r="K618" s="801"/>
      <c r="L618" s="556">
        <f t="shared" si="236"/>
        <v>0.98780137108071042</v>
      </c>
    </row>
    <row r="619" spans="1:12" s="1358" customFormat="1" ht="38.25">
      <c r="A619" s="1513"/>
      <c r="B619" s="3227"/>
      <c r="C619" s="1514" t="s">
        <v>707</v>
      </c>
      <c r="D619" s="1515">
        <v>2310</v>
      </c>
      <c r="E619" s="816">
        <v>4110605</v>
      </c>
      <c r="F619" s="816">
        <v>4346727</v>
      </c>
      <c r="G619" s="816">
        <v>4292727</v>
      </c>
      <c r="H619" s="629">
        <f t="shared" si="233"/>
        <v>1.0443054002999559</v>
      </c>
      <c r="I619" s="647">
        <v>0</v>
      </c>
      <c r="J619" s="647">
        <f t="shared" ref="J619:J622" si="251">G619+I619</f>
        <v>4292727</v>
      </c>
      <c r="K619" s="603"/>
      <c r="L619" s="533">
        <f t="shared" si="236"/>
        <v>0.98757685955432672</v>
      </c>
    </row>
    <row r="620" spans="1:12" s="564" customFormat="1" ht="38.25">
      <c r="A620" s="1513"/>
      <c r="B620" s="3228"/>
      <c r="C620" s="1514" t="s">
        <v>708</v>
      </c>
      <c r="D620" s="1515">
        <v>2320</v>
      </c>
      <c r="E620" s="816">
        <v>80000</v>
      </c>
      <c r="F620" s="816">
        <v>80000</v>
      </c>
      <c r="G620" s="816">
        <v>80000</v>
      </c>
      <c r="H620" s="629">
        <f t="shared" si="233"/>
        <v>1</v>
      </c>
      <c r="I620" s="647">
        <v>0</v>
      </c>
      <c r="J620" s="647">
        <f t="shared" si="251"/>
        <v>80000</v>
      </c>
      <c r="K620" s="603"/>
      <c r="L620" s="533">
        <f t="shared" si="236"/>
        <v>1</v>
      </c>
    </row>
    <row r="621" spans="1:12" s="564" customFormat="1" ht="15.75" thickBot="1">
      <c r="A621" s="1516"/>
      <c r="B621" s="3238" t="s">
        <v>343</v>
      </c>
      <c r="C621" s="3239"/>
      <c r="D621" s="1517"/>
      <c r="E621" s="637">
        <f>SUM(E622)</f>
        <v>0</v>
      </c>
      <c r="F621" s="637">
        <f t="shared" ref="F621:K621" si="252">SUM(F622)</f>
        <v>36000</v>
      </c>
      <c r="G621" s="637">
        <f t="shared" si="252"/>
        <v>0</v>
      </c>
      <c r="H621" s="637"/>
      <c r="I621" s="637">
        <f t="shared" si="252"/>
        <v>0</v>
      </c>
      <c r="J621" s="637">
        <f t="shared" si="252"/>
        <v>0</v>
      </c>
      <c r="K621" s="1518">
        <f t="shared" si="252"/>
        <v>0</v>
      </c>
      <c r="L621" s="693">
        <f t="shared" si="236"/>
        <v>0</v>
      </c>
    </row>
    <row r="622" spans="1:12" s="1345" customFormat="1" ht="39" hidden="1" customHeight="1" thickBot="1">
      <c r="A622" s="1513"/>
      <c r="B622" s="1519"/>
      <c r="C622" s="1520" t="s">
        <v>709</v>
      </c>
      <c r="D622" s="1521">
        <v>6610</v>
      </c>
      <c r="E622" s="1522">
        <v>0</v>
      </c>
      <c r="F622" s="1523">
        <v>36000</v>
      </c>
      <c r="G622" s="1523">
        <v>0</v>
      </c>
      <c r="H622" s="1524"/>
      <c r="I622" s="1525">
        <v>0</v>
      </c>
      <c r="J622" s="747">
        <f t="shared" si="251"/>
        <v>0</v>
      </c>
      <c r="K622" s="1526"/>
      <c r="L622" s="533">
        <f t="shared" si="236"/>
        <v>0</v>
      </c>
    </row>
    <row r="623" spans="1:12" s="564" customFormat="1" ht="15.75" hidden="1" thickBot="1">
      <c r="A623" s="3240"/>
      <c r="B623" s="1157">
        <v>92118</v>
      </c>
      <c r="C623" s="1158" t="s">
        <v>710</v>
      </c>
      <c r="D623" s="1527"/>
      <c r="E623" s="1033">
        <f>E624+E628</f>
        <v>0</v>
      </c>
      <c r="F623" s="1237">
        <f t="shared" ref="F623:G623" si="253">F624+F628</f>
        <v>0</v>
      </c>
      <c r="G623" s="1237">
        <f t="shared" si="253"/>
        <v>0</v>
      </c>
      <c r="H623" s="1034" t="e">
        <f t="shared" si="233"/>
        <v>#DIV/0!</v>
      </c>
      <c r="I623" s="1336"/>
      <c r="J623" s="1336"/>
      <c r="K623" s="1121"/>
      <c r="L623" s="563" t="e">
        <f t="shared" si="236"/>
        <v>#DIV/0!</v>
      </c>
    </row>
    <row r="624" spans="1:12" s="1212" customFormat="1" ht="15.75" hidden="1" thickBot="1">
      <c r="A624" s="3241"/>
      <c r="B624" s="3225" t="s">
        <v>338</v>
      </c>
      <c r="C624" s="3242"/>
      <c r="D624" s="1319"/>
      <c r="E624" s="1029">
        <f>SUM(E625:E627)</f>
        <v>0</v>
      </c>
      <c r="F624" s="956">
        <f t="shared" ref="F624:G624" si="254">SUM(F625:F627)</f>
        <v>0</v>
      </c>
      <c r="G624" s="956">
        <f t="shared" si="254"/>
        <v>0</v>
      </c>
      <c r="H624" s="800" t="e">
        <f t="shared" si="233"/>
        <v>#DIV/0!</v>
      </c>
      <c r="I624" s="1351"/>
      <c r="J624" s="1351"/>
      <c r="K624" s="801"/>
      <c r="L624" s="563" t="e">
        <f t="shared" si="236"/>
        <v>#DIV/0!</v>
      </c>
    </row>
    <row r="625" spans="1:12" s="1214" customFormat="1" ht="15" hidden="1" customHeight="1">
      <c r="A625" s="1528"/>
      <c r="B625" s="3227"/>
      <c r="C625" s="1489" t="s">
        <v>693</v>
      </c>
      <c r="D625" s="1253" t="s">
        <v>378</v>
      </c>
      <c r="E625" s="837">
        <v>0</v>
      </c>
      <c r="F625" s="1040">
        <v>0</v>
      </c>
      <c r="G625" s="1040">
        <v>0</v>
      </c>
      <c r="H625" s="666" t="e">
        <f t="shared" si="233"/>
        <v>#DIV/0!</v>
      </c>
      <c r="I625" s="667"/>
      <c r="J625" s="667"/>
      <c r="K625" s="1041"/>
      <c r="L625" s="563" t="e">
        <f t="shared" si="236"/>
        <v>#DIV/0!</v>
      </c>
    </row>
    <row r="626" spans="1:12" ht="39" hidden="1" thickBot="1">
      <c r="A626" s="1528"/>
      <c r="B626" s="3228"/>
      <c r="C626" s="1502" t="s">
        <v>694</v>
      </c>
      <c r="D626" s="1253" t="s">
        <v>359</v>
      </c>
      <c r="E626" s="1043">
        <v>0</v>
      </c>
      <c r="F626" s="1347">
        <v>0</v>
      </c>
      <c r="G626" s="1347"/>
      <c r="H626" s="1044" t="e">
        <f t="shared" si="233"/>
        <v>#DIV/0!</v>
      </c>
      <c r="I626" s="1045"/>
      <c r="J626" s="1045"/>
      <c r="K626" s="1046"/>
      <c r="L626" s="563" t="e">
        <f t="shared" si="236"/>
        <v>#DIV/0!</v>
      </c>
    </row>
    <row r="627" spans="1:12" ht="27" hidden="1" customHeight="1">
      <c r="A627" s="1528"/>
      <c r="B627" s="3229"/>
      <c r="C627" s="1489" t="s">
        <v>699</v>
      </c>
      <c r="D627" s="1253" t="s">
        <v>396</v>
      </c>
      <c r="E627" s="837">
        <v>0</v>
      </c>
      <c r="F627" s="1040">
        <v>0</v>
      </c>
      <c r="G627" s="1040"/>
      <c r="H627" s="666" t="e">
        <f t="shared" si="233"/>
        <v>#DIV/0!</v>
      </c>
      <c r="I627" s="667"/>
      <c r="J627" s="667"/>
      <c r="K627" s="1041"/>
      <c r="L627" s="563" t="e">
        <f t="shared" si="236"/>
        <v>#DIV/0!</v>
      </c>
    </row>
    <row r="628" spans="1:12" ht="15.75" hidden="1" thickBot="1">
      <c r="A628" s="1528"/>
      <c r="B628" s="3234" t="s">
        <v>382</v>
      </c>
      <c r="C628" s="3243"/>
      <c r="D628" s="1100"/>
      <c r="E628" s="824">
        <f>E629+E630</f>
        <v>0</v>
      </c>
      <c r="F628" s="1529">
        <f t="shared" ref="F628:G628" si="255">F629+F630</f>
        <v>0</v>
      </c>
      <c r="G628" s="1529">
        <f t="shared" si="255"/>
        <v>0</v>
      </c>
      <c r="H628" s="921" t="e">
        <f t="shared" si="233"/>
        <v>#DIV/0!</v>
      </c>
      <c r="I628" s="1530"/>
      <c r="J628" s="1530"/>
      <c r="K628" s="829"/>
      <c r="L628" s="563" t="e">
        <f t="shared" si="236"/>
        <v>#DIV/0!</v>
      </c>
    </row>
    <row r="629" spans="1:12" ht="39" hidden="1" thickBot="1">
      <c r="A629" s="1528"/>
      <c r="B629" s="3227"/>
      <c r="C629" s="1277" t="s">
        <v>701</v>
      </c>
      <c r="D629" s="1161" t="s">
        <v>711</v>
      </c>
      <c r="E629" s="816">
        <v>0</v>
      </c>
      <c r="F629" s="600">
        <v>0</v>
      </c>
      <c r="G629" s="600">
        <v>0</v>
      </c>
      <c r="H629" s="629" t="e">
        <f t="shared" si="233"/>
        <v>#DIV/0!</v>
      </c>
      <c r="I629" s="647"/>
      <c r="J629" s="647"/>
      <c r="K629" s="603"/>
      <c r="L629" s="563" t="e">
        <f t="shared" si="236"/>
        <v>#DIV/0!</v>
      </c>
    </row>
    <row r="630" spans="1:12" ht="26.25" hidden="1" customHeight="1" thickBot="1">
      <c r="A630" s="1528"/>
      <c r="B630" s="3228"/>
      <c r="C630" s="1285" t="s">
        <v>699</v>
      </c>
      <c r="D630" s="1394" t="s">
        <v>705</v>
      </c>
      <c r="E630" s="628">
        <v>0</v>
      </c>
      <c r="F630" s="594">
        <v>0</v>
      </c>
      <c r="G630" s="594"/>
      <c r="H630" s="754" t="e">
        <f t="shared" si="233"/>
        <v>#DIV/0!</v>
      </c>
      <c r="I630" s="755"/>
      <c r="J630" s="755"/>
      <c r="K630" s="757"/>
      <c r="L630" s="549" t="e">
        <f t="shared" si="236"/>
        <v>#DIV/0!</v>
      </c>
    </row>
    <row r="631" spans="1:12" s="1214" customFormat="1" ht="15" customHeight="1" thickBot="1">
      <c r="A631" s="1531"/>
      <c r="B631" s="1532">
        <v>92195</v>
      </c>
      <c r="C631" s="1533" t="s">
        <v>11</v>
      </c>
      <c r="D631" s="1534"/>
      <c r="E631" s="1535">
        <f>E632+E634</f>
        <v>5000</v>
      </c>
      <c r="F631" s="1535">
        <f>F632+F634</f>
        <v>5000</v>
      </c>
      <c r="G631" s="1535">
        <f>G632+G634</f>
        <v>5000</v>
      </c>
      <c r="H631" s="1536">
        <f t="shared" si="233"/>
        <v>1</v>
      </c>
      <c r="I631" s="1535">
        <f>I632+I634</f>
        <v>0</v>
      </c>
      <c r="J631" s="615">
        <f>J632+J634</f>
        <v>5000</v>
      </c>
      <c r="K631" s="1537"/>
      <c r="L631" s="553">
        <f t="shared" si="236"/>
        <v>1</v>
      </c>
    </row>
    <row r="632" spans="1:12" ht="14.25" customHeight="1">
      <c r="A632" s="1387"/>
      <c r="B632" s="3234" t="s">
        <v>338</v>
      </c>
      <c r="C632" s="3235"/>
      <c r="D632" s="1381"/>
      <c r="E632" s="1497">
        <f>E633</f>
        <v>5000</v>
      </c>
      <c r="F632" s="1497">
        <f t="shared" ref="F632:J632" si="256">F633</f>
        <v>5000</v>
      </c>
      <c r="G632" s="1497">
        <f t="shared" si="256"/>
        <v>5000</v>
      </c>
      <c r="H632" s="1000">
        <f t="shared" si="233"/>
        <v>1</v>
      </c>
      <c r="I632" s="1497">
        <f t="shared" si="256"/>
        <v>0</v>
      </c>
      <c r="J632" s="1497">
        <f t="shared" si="256"/>
        <v>5000</v>
      </c>
      <c r="K632" s="1169"/>
      <c r="L632" s="556">
        <f t="shared" si="236"/>
        <v>1</v>
      </c>
    </row>
    <row r="633" spans="1:12" ht="54.75" customHeight="1">
      <c r="A633" s="1387"/>
      <c r="B633" s="1298"/>
      <c r="C633" s="1538" t="s">
        <v>712</v>
      </c>
      <c r="D633" s="1539" t="s">
        <v>474</v>
      </c>
      <c r="E633" s="816">
        <v>5000</v>
      </c>
      <c r="F633" s="816">
        <v>5000</v>
      </c>
      <c r="G633" s="816">
        <v>5000</v>
      </c>
      <c r="H633" s="629">
        <f t="shared" si="233"/>
        <v>1</v>
      </c>
      <c r="I633" s="805">
        <v>0</v>
      </c>
      <c r="J633" s="647">
        <f t="shared" ref="J633" si="257">G633+I633</f>
        <v>5000</v>
      </c>
      <c r="K633" s="603"/>
      <c r="L633" s="533">
        <f t="shared" si="236"/>
        <v>1</v>
      </c>
    </row>
    <row r="634" spans="1:12" ht="15.75" customHeight="1" thickBot="1">
      <c r="A634" s="1540"/>
      <c r="B634" s="3230" t="s">
        <v>343</v>
      </c>
      <c r="C634" s="3236"/>
      <c r="D634" s="1137"/>
      <c r="E634" s="637">
        <v>0</v>
      </c>
      <c r="F634" s="637">
        <v>0</v>
      </c>
      <c r="G634" s="637">
        <f t="shared" si="222"/>
        <v>0</v>
      </c>
      <c r="H634" s="797"/>
      <c r="I634" s="1541">
        <f t="shared" si="222"/>
        <v>0</v>
      </c>
      <c r="J634" s="637">
        <f t="shared" si="222"/>
        <v>0</v>
      </c>
      <c r="K634" s="798"/>
      <c r="L634" s="576"/>
    </row>
    <row r="635" spans="1:12" s="484" customFormat="1" ht="26.25" thickBot="1">
      <c r="A635" s="1090">
        <v>925</v>
      </c>
      <c r="B635" s="1542"/>
      <c r="C635" s="1543" t="s">
        <v>713</v>
      </c>
      <c r="D635" s="1544"/>
      <c r="E635" s="1545">
        <f>E636+E641</f>
        <v>619000</v>
      </c>
      <c r="F635" s="1545">
        <f>F636+F641</f>
        <v>732300</v>
      </c>
      <c r="G635" s="1545">
        <f>G636+G641</f>
        <v>619000</v>
      </c>
      <c r="H635" s="1409">
        <f t="shared" si="233"/>
        <v>1</v>
      </c>
      <c r="I635" s="1545">
        <f>I636+I641</f>
        <v>0</v>
      </c>
      <c r="J635" s="1545">
        <f>J636+J641</f>
        <v>619000</v>
      </c>
      <c r="K635" s="1546"/>
      <c r="L635" s="643">
        <f t="shared" si="236"/>
        <v>0.84528198825617917</v>
      </c>
    </row>
    <row r="636" spans="1:12" s="484" customFormat="1" ht="16.5" customHeight="1" thickBot="1">
      <c r="A636" s="1387"/>
      <c r="B636" s="1130">
        <v>92502</v>
      </c>
      <c r="C636" s="1226" t="s">
        <v>714</v>
      </c>
      <c r="D636" s="1227"/>
      <c r="E636" s="518">
        <f>E637+E640</f>
        <v>619000</v>
      </c>
      <c r="F636" s="518">
        <f>F637+F640</f>
        <v>732300</v>
      </c>
      <c r="G636" s="518">
        <f>G637+G640</f>
        <v>619000</v>
      </c>
      <c r="H636" s="616">
        <f t="shared" si="233"/>
        <v>1</v>
      </c>
      <c r="I636" s="518">
        <f>I637+I640</f>
        <v>0</v>
      </c>
      <c r="J636" s="518">
        <f>J637+J640</f>
        <v>619000</v>
      </c>
      <c r="K636" s="552"/>
      <c r="L636" s="553">
        <f t="shared" si="236"/>
        <v>0.84528198825617917</v>
      </c>
    </row>
    <row r="637" spans="1:12" s="484" customFormat="1" ht="15.75" customHeight="1">
      <c r="A637" s="1387"/>
      <c r="B637" s="3225" t="s">
        <v>338</v>
      </c>
      <c r="C637" s="3226"/>
      <c r="D637" s="1319"/>
      <c r="E637" s="524">
        <f>SUM(E638:E639)</f>
        <v>619000</v>
      </c>
      <c r="F637" s="524">
        <f>SUM(F638:F639)</f>
        <v>732300</v>
      </c>
      <c r="G637" s="524">
        <f>SUM(G638:G639)</f>
        <v>619000</v>
      </c>
      <c r="H637" s="800">
        <f t="shared" si="233"/>
        <v>1</v>
      </c>
      <c r="I637" s="524">
        <f>SUM(I638:I639)</f>
        <v>0</v>
      </c>
      <c r="J637" s="524">
        <f>SUM(J638:J639)</f>
        <v>619000</v>
      </c>
      <c r="K637" s="931"/>
      <c r="L637" s="556">
        <f t="shared" si="236"/>
        <v>0.84528198825617917</v>
      </c>
    </row>
    <row r="638" spans="1:12" s="484" customFormat="1" ht="25.5">
      <c r="A638" s="1387"/>
      <c r="B638" s="1264"/>
      <c r="C638" s="1547" t="s">
        <v>620</v>
      </c>
      <c r="D638" s="1548">
        <v>2230</v>
      </c>
      <c r="E638" s="535">
        <v>619000</v>
      </c>
      <c r="F638" s="535">
        <v>619000</v>
      </c>
      <c r="G638" s="535">
        <v>619000</v>
      </c>
      <c r="H638" s="629">
        <f t="shared" si="233"/>
        <v>1</v>
      </c>
      <c r="I638" s="805">
        <v>0</v>
      </c>
      <c r="J638" s="647">
        <f t="shared" ref="J638:J639" si="258">G638+I638</f>
        <v>619000</v>
      </c>
      <c r="K638" s="532"/>
      <c r="L638" s="533">
        <f t="shared" si="236"/>
        <v>1</v>
      </c>
    </row>
    <row r="639" spans="1:12" s="484" customFormat="1" ht="25.5" hidden="1">
      <c r="A639" s="1387"/>
      <c r="B639" s="1298"/>
      <c r="C639" s="1146" t="s">
        <v>364</v>
      </c>
      <c r="D639" s="1515">
        <v>2460</v>
      </c>
      <c r="E639" s="535">
        <v>0</v>
      </c>
      <c r="F639" s="535">
        <v>113300</v>
      </c>
      <c r="G639" s="535">
        <v>0</v>
      </c>
      <c r="H639" s="629"/>
      <c r="I639" s="805">
        <v>0</v>
      </c>
      <c r="J639" s="647">
        <f t="shared" si="258"/>
        <v>0</v>
      </c>
      <c r="K639" s="532"/>
      <c r="L639" s="533">
        <f t="shared" si="236"/>
        <v>0</v>
      </c>
    </row>
    <row r="640" spans="1:12" s="484" customFormat="1" ht="15.75" customHeight="1" thickBot="1">
      <c r="A640" s="1540"/>
      <c r="B640" s="3230" t="s">
        <v>343</v>
      </c>
      <c r="C640" s="3237"/>
      <c r="D640" s="1173"/>
      <c r="E640" s="605">
        <v>0</v>
      </c>
      <c r="F640" s="605">
        <v>0</v>
      </c>
      <c r="G640" s="605">
        <v>0</v>
      </c>
      <c r="H640" s="810"/>
      <c r="I640" s="605">
        <v>0</v>
      </c>
      <c r="J640" s="605">
        <v>0</v>
      </c>
      <c r="K640" s="670"/>
      <c r="L640" s="541"/>
    </row>
    <row r="641" spans="1:13" ht="21.75" hidden="1" customHeight="1" thickBot="1">
      <c r="A641" s="1531"/>
      <c r="B641" s="1170">
        <v>92595</v>
      </c>
      <c r="C641" s="1296" t="s">
        <v>11</v>
      </c>
      <c r="D641" s="1297"/>
      <c r="E641" s="1237">
        <f>E642+E644</f>
        <v>0</v>
      </c>
      <c r="F641" s="1237">
        <f>F642+F644</f>
        <v>0</v>
      </c>
      <c r="G641" s="1237">
        <f>G642+G644</f>
        <v>0</v>
      </c>
      <c r="H641" s="1034"/>
      <c r="I641" s="1237">
        <f>I642+I644</f>
        <v>0</v>
      </c>
      <c r="J641" s="1237">
        <f>J642+J644</f>
        <v>0</v>
      </c>
      <c r="K641" s="1121"/>
      <c r="L641" s="563" t="e">
        <f t="shared" si="236"/>
        <v>#DIV/0!</v>
      </c>
    </row>
    <row r="642" spans="1:13" ht="15" hidden="1" customHeight="1">
      <c r="A642" s="1325"/>
      <c r="B642" s="3225" t="s">
        <v>338</v>
      </c>
      <c r="C642" s="3226"/>
      <c r="D642" s="1319"/>
      <c r="E642" s="956">
        <f>SUM(E643:E643)</f>
        <v>0</v>
      </c>
      <c r="F642" s="956">
        <f>SUM(F643:F643)</f>
        <v>0</v>
      </c>
      <c r="G642" s="956">
        <f>SUM(G643:G643)</f>
        <v>0</v>
      </c>
      <c r="H642" s="800"/>
      <c r="I642" s="956">
        <f>SUM(I643:I643)</f>
        <v>0</v>
      </c>
      <c r="J642" s="956">
        <f>SUM(J643:J643)</f>
        <v>0</v>
      </c>
      <c r="K642" s="801"/>
      <c r="L642" s="563" t="e">
        <f t="shared" si="236"/>
        <v>#DIV/0!</v>
      </c>
    </row>
    <row r="643" spans="1:13" ht="26.25" hidden="1" thickBot="1">
      <c r="A643" s="1325"/>
      <c r="B643" s="1298"/>
      <c r="C643" s="1146" t="s">
        <v>364</v>
      </c>
      <c r="D643" s="1515">
        <v>2460</v>
      </c>
      <c r="E643" s="600">
        <v>0</v>
      </c>
      <c r="F643" s="600">
        <v>0</v>
      </c>
      <c r="G643" s="600">
        <v>0</v>
      </c>
      <c r="H643" s="629"/>
      <c r="I643" s="600">
        <v>0</v>
      </c>
      <c r="J643" s="600">
        <v>0</v>
      </c>
      <c r="K643" s="603"/>
      <c r="L643" s="563" t="e">
        <f t="shared" si="236"/>
        <v>#DIV/0!</v>
      </c>
    </row>
    <row r="644" spans="1:13" ht="15" hidden="1" customHeight="1" thickBot="1">
      <c r="A644" s="1325"/>
      <c r="B644" s="3223" t="s">
        <v>382</v>
      </c>
      <c r="C644" s="3224"/>
      <c r="D644" s="1171"/>
      <c r="E644" s="1549">
        <v>0</v>
      </c>
      <c r="F644" s="1549">
        <v>0</v>
      </c>
      <c r="G644" s="1549">
        <v>0</v>
      </c>
      <c r="H644" s="1550"/>
      <c r="I644" s="1549">
        <v>0</v>
      </c>
      <c r="J644" s="1549">
        <v>0</v>
      </c>
      <c r="K644" s="1551"/>
      <c r="L644" s="563" t="e">
        <f t="shared" si="236"/>
        <v>#DIV/0!</v>
      </c>
    </row>
    <row r="645" spans="1:13" ht="15" hidden="1" customHeight="1" thickBot="1">
      <c r="A645" s="1552">
        <v>926</v>
      </c>
      <c r="B645" s="1553"/>
      <c r="C645" s="1554" t="s">
        <v>715</v>
      </c>
      <c r="D645" s="1555"/>
      <c r="E645" s="1556">
        <f>E646</f>
        <v>0</v>
      </c>
      <c r="F645" s="1556">
        <f t="shared" ref="F645" si="259">F646</f>
        <v>0</v>
      </c>
      <c r="G645" s="1556">
        <f>G646</f>
        <v>0</v>
      </c>
      <c r="H645" s="1557"/>
      <c r="I645" s="1556">
        <f>I646</f>
        <v>0</v>
      </c>
      <c r="J645" s="1556">
        <f>J646</f>
        <v>0</v>
      </c>
      <c r="K645" s="1558"/>
      <c r="L645" s="563" t="e">
        <f t="shared" si="236"/>
        <v>#DIV/0!</v>
      </c>
    </row>
    <row r="646" spans="1:13" ht="15.75" hidden="1" thickBot="1">
      <c r="A646" s="1321"/>
      <c r="B646" s="1130">
        <v>92605</v>
      </c>
      <c r="C646" s="1131" t="s">
        <v>716</v>
      </c>
      <c r="D646" s="1132"/>
      <c r="E646" s="1110">
        <f>E647+E651</f>
        <v>0</v>
      </c>
      <c r="F646" s="1110">
        <f t="shared" ref="F646" si="260">F647+F651</f>
        <v>0</v>
      </c>
      <c r="G646" s="1110">
        <f>G647+G651</f>
        <v>0</v>
      </c>
      <c r="H646" s="616"/>
      <c r="I646" s="1110">
        <f>I647+I651</f>
        <v>0</v>
      </c>
      <c r="J646" s="1110">
        <f>J647+J651</f>
        <v>0</v>
      </c>
      <c r="K646" s="738"/>
      <c r="L646" s="563" t="e">
        <f t="shared" si="236"/>
        <v>#DIV/0!</v>
      </c>
    </row>
    <row r="647" spans="1:13" ht="15" hidden="1" customHeight="1">
      <c r="A647" s="1321"/>
      <c r="B647" s="3225" t="s">
        <v>338</v>
      </c>
      <c r="C647" s="3226"/>
      <c r="D647" s="1337"/>
      <c r="E647" s="1164">
        <f>SUM(E648:E650)</f>
        <v>0</v>
      </c>
      <c r="F647" s="1164">
        <f t="shared" ref="F647:G647" si="261">SUM(F648:F650)</f>
        <v>0</v>
      </c>
      <c r="G647" s="1164">
        <f t="shared" si="261"/>
        <v>0</v>
      </c>
      <c r="H647" s="741"/>
      <c r="I647" s="1164">
        <f t="shared" ref="I647:J647" si="262">SUM(I648:I650)</f>
        <v>0</v>
      </c>
      <c r="J647" s="1164">
        <f t="shared" si="262"/>
        <v>0</v>
      </c>
      <c r="K647" s="742"/>
      <c r="L647" s="563" t="e">
        <f t="shared" si="236"/>
        <v>#DIV/0!</v>
      </c>
    </row>
    <row r="648" spans="1:13" ht="41.25" hidden="1" customHeight="1">
      <c r="A648" s="1559"/>
      <c r="B648" s="3227"/>
      <c r="C648" s="1489" t="s">
        <v>717</v>
      </c>
      <c r="D648" s="1166" t="s">
        <v>378</v>
      </c>
      <c r="E648" s="1040">
        <v>0</v>
      </c>
      <c r="F648" s="1040">
        <v>0</v>
      </c>
      <c r="G648" s="1040"/>
      <c r="H648" s="666"/>
      <c r="I648" s="1040"/>
      <c r="J648" s="1040"/>
      <c r="K648" s="1041"/>
      <c r="L648" s="563" t="e">
        <f t="shared" si="236"/>
        <v>#DIV/0!</v>
      </c>
    </row>
    <row r="649" spans="1:13" ht="39" hidden="1" thickBot="1">
      <c r="A649" s="1560"/>
      <c r="B649" s="3228"/>
      <c r="C649" s="1502" t="s">
        <v>718</v>
      </c>
      <c r="D649" s="1166" t="s">
        <v>359</v>
      </c>
      <c r="E649" s="1347">
        <v>0</v>
      </c>
      <c r="F649" s="1347">
        <v>0</v>
      </c>
      <c r="G649" s="1347"/>
      <c r="H649" s="1561"/>
      <c r="I649" s="1347"/>
      <c r="J649" s="1347"/>
      <c r="K649" s="1046"/>
      <c r="L649" s="563" t="e">
        <f t="shared" si="236"/>
        <v>#DIV/0!</v>
      </c>
    </row>
    <row r="650" spans="1:13" ht="27" hidden="1" customHeight="1">
      <c r="A650" s="1560"/>
      <c r="B650" s="3229"/>
      <c r="C650" s="1165" t="s">
        <v>719</v>
      </c>
      <c r="D650" s="1166" t="s">
        <v>396</v>
      </c>
      <c r="E650" s="1018">
        <v>0</v>
      </c>
      <c r="F650" s="1018">
        <v>0</v>
      </c>
      <c r="G650" s="1018"/>
      <c r="H650" s="1562"/>
      <c r="I650" s="1018"/>
      <c r="J650" s="1018"/>
      <c r="K650" s="636"/>
      <c r="L650" s="563" t="e">
        <f t="shared" si="236"/>
        <v>#DIV/0!</v>
      </c>
      <c r="M650" s="1563" t="s">
        <v>720</v>
      </c>
    </row>
    <row r="651" spans="1:13" ht="15.75" hidden="1" thickBot="1">
      <c r="A651" s="1560"/>
      <c r="B651" s="3230" t="s">
        <v>343</v>
      </c>
      <c r="C651" s="3231"/>
      <c r="D651" s="1137"/>
      <c r="E651" s="879">
        <v>0</v>
      </c>
      <c r="F651" s="879">
        <v>0</v>
      </c>
      <c r="G651" s="879">
        <f t="shared" si="222"/>
        <v>0</v>
      </c>
      <c r="H651" s="880"/>
      <c r="I651" s="879">
        <f t="shared" si="222"/>
        <v>0</v>
      </c>
      <c r="J651" s="879">
        <f t="shared" si="222"/>
        <v>0</v>
      </c>
      <c r="K651" s="798"/>
      <c r="L651" s="549" t="e">
        <f t="shared" ref="L651:L659" si="263">J651/F651</f>
        <v>#DIV/0!</v>
      </c>
    </row>
    <row r="652" spans="1:13" ht="30.75" customHeight="1" thickBot="1">
      <c r="A652" s="3232" t="s">
        <v>3</v>
      </c>
      <c r="B652" s="3233"/>
      <c r="C652" s="3233"/>
      <c r="D652" s="1564"/>
      <c r="E652" s="1565">
        <f>E10+E38+E44+E49+E66+E129+E141+E151+E175+E181+E200+E275+E280+E292+E349+E407+E459+E495+E531+E536+E553+E584+E635+E645</f>
        <v>1191441813</v>
      </c>
      <c r="F652" s="1566">
        <f>F10+F38+F44+F49+F66+F129+F141+F151+F175+F181+F200+F275+F280+F292+F349+F407+F459+F495+F531+F536+F553+F584+F635+F645</f>
        <v>1295998575</v>
      </c>
      <c r="G652" s="1567">
        <f>G10+G38+G44+G49+G66+G129+G141+G151+G175+G181+G200+G275+G280+G292+G349+G407+G459+G495+G531+G536+G553+G584+G635+G645</f>
        <v>1098581375</v>
      </c>
      <c r="H652" s="1568">
        <f t="shared" ref="H652:H659" si="264">G652/E652</f>
        <v>0.92206045063486453</v>
      </c>
      <c r="I652" s="1569">
        <f>I10+I38+I44+I49+I66+I129+I141+I151+I175+I181+I200+I270+I275+I280+I292+I349+I407+I459+I495+I531+I536+I553+I584+I635+I645</f>
        <v>303658516</v>
      </c>
      <c r="J652" s="1566">
        <f>J10+J38+J44+J49+J66+J129+J141+J151+J175+J181+J200+J270+J275+J280+J292+J349+J407+J459+J495+J531+J536+J553+J584+J635+J645</f>
        <v>1402239891</v>
      </c>
      <c r="K652" s="1570"/>
      <c r="L652" s="1571">
        <f t="shared" si="263"/>
        <v>1.0819764142101778</v>
      </c>
    </row>
    <row r="653" spans="1:13">
      <c r="A653" s="1572" t="s">
        <v>1</v>
      </c>
      <c r="B653" s="1573"/>
      <c r="C653" s="1573"/>
      <c r="D653" s="1574"/>
      <c r="E653" s="1575"/>
      <c r="F653" s="1576"/>
      <c r="G653" s="1575"/>
      <c r="H653" s="1577"/>
      <c r="I653" s="1575"/>
      <c r="J653" s="1576"/>
      <c r="K653" s="1578"/>
      <c r="L653" s="1102"/>
    </row>
    <row r="654" spans="1:13">
      <c r="A654" s="1579" t="s">
        <v>721</v>
      </c>
      <c r="B654" s="1580"/>
      <c r="C654" s="1581"/>
      <c r="D654" s="1582"/>
      <c r="E654" s="1583">
        <f>E12+E19+E25+E33+E40+E46+E68+E82+E88+E94+E99+E120+E124+E143+E153+E160+E164+E177+E183+E194+E202+E207+E222+E227+E236+E240+E277+E282+E288+E294+E304+E308+E312+E320+E324+E338+E351+E356+E360+E369+E386+E425+E444+E452+E461+E395+E417+E434+E439+E642+E466+E477+E502+E506+E538+E544+E548+E555+E561+E569+E618+E637+E632+E131+E51+E298+E399+E409+E425+E518+E592+E599+E604+E624+E647+E138+E579+E188+E421+E430+E497+E533+E575+E613+E586</f>
        <v>912356435</v>
      </c>
      <c r="F654" s="1584">
        <f>F12+F19+F25+F33+F40+F46+F68+F82+F88+F94+F99+F120+F124+F143+F153+F160+F164+F177+F183+F194+F202+F207+F222+F227+F236+F240+F277+F282+F288+F294+F304+F308+F312+F320+F324+F338+F351+F356+F360+F369+F386+F425+F444+F452+F461+F395+F417+F434+F439+F642+F466+F477+F502+F506+F538+F544+F548+F555+F561+F569+F618+F637+F632+F131+F51+F298+F399+F409+F425+F518+F592+F599+F604+F624+F647+F138+F579+F188+F421+F430+F497+F533+F575+F613+F586+F316+F448</f>
        <v>937924245</v>
      </c>
      <c r="G654" s="1583">
        <f>G12+G19+G25+G33+G40+G46+G68+G82+G88+G94+G99+G120+G124+G143+G153+G160+G164+G177+G183+G194+G202+G207+G222+G227+G236+G240+G277+G282+G288+G294+G304+G308+G312+G320+G324+G338+G351+G356+G360+G369+G386+G425+G444+G452+G461+G395+G417+G434+G439+G642+G466+G477+G502+G506+G538+G544+G548+G555+G561+G569+G618+G637+G632+G131+G51+G298+G399+G409+G425+G518+G592+G599+G604+G624+G647+G138+G579+G188+G421+G430+G497+G533+G575+G613+G586+G316+G448</f>
        <v>797687710</v>
      </c>
      <c r="H654" s="1585">
        <f t="shared" si="264"/>
        <v>0.87431586976201903</v>
      </c>
      <c r="I654" s="1583">
        <f>I12+I19+I25+I33+I40+I46+I68+I82+I88+I94+I99+I120+I124+I143+I153+I160+I164+I177+I183+I194+I202+I207+I222+I227+I236+I240+I272+I277+I282+I288+I294+I304+I308+I312+I320+I324+I338+I351+I356+I360+I369+I386+I425+I444+I452+I461+I395+I417+I434+I439+I642+I466+I477+I502+I506+I538+I544+I548+I555+I561+I569+I618+I637+I632+I131+I51+I298+I399+I409+I425+I518+I592+I599+I604+I624+I647+I138+I579+I188+I421+I430+I497+I533+I575+I613+I586+I316+I448</f>
        <v>284864080</v>
      </c>
      <c r="J654" s="1586">
        <f>J12+J19+J25+J33+J40+J46+J68+J82+J88+J94+J99+J120+J124+J143+J153+J160+J164+J177+J183+J194+J202+J207+J222+J227+J236+J240+J272+J277+J282+J288+J294+J304+J308+J312+J320+J324+J338+J351+J356+J360+J369+J386+J425+J444+J452+J461+J395+J417+J434+J439+J642+J466+J477+J502+J506+J538+J544+J548+J555+J561+J569+J618+J637+J632+J131+J51+J298+J399+J409+J425+J518+J592+J599+J604+J624+J647+J138+J579+J188+J421+J430+J497+J533+J575+J613+J586+J316+J448</f>
        <v>1082551790</v>
      </c>
      <c r="K654" s="1587"/>
      <c r="L654" s="1588">
        <f t="shared" si="263"/>
        <v>1.154199601695977</v>
      </c>
    </row>
    <row r="655" spans="1:13" hidden="1">
      <c r="A655" s="3217" t="s">
        <v>722</v>
      </c>
      <c r="B655" s="3218"/>
      <c r="C655" s="3218"/>
      <c r="D655" s="1589"/>
      <c r="E655" s="1590">
        <f>E21+E22+E35+E36+E41+E42+E73+E74+E75+E83+E89+E103+E104+E126+E139+E168+E203+E217+E223+E230+E237+E242+E243+E244+E245+E246+E247+E248+E249+E250+E251+E252+E253+E254+E256+E257+E325+E328+E340+E341+E342+E343+E372+E373+E374+E375+E376+E377+E378+E379+E380+E381+E382+E445+E449+E454+E455+E462+E478+E479+E480+E481+E482+E484+E485+E487+E509+E510+E511+E512+E513+E521+E522+E545+E550+E600+E619+E620+E638+E639</f>
        <v>233752798</v>
      </c>
      <c r="F655" s="1591">
        <f>F21+F22+F35+F36+F41+F42+F73+F74+F75+F83+F89+F103+F104+F126+F139+F168+F203+F217+F223+F230+F237+F242+F243+F244+F245+F246+F247+F248+F249+F250+F251+F252+F253+F254+F256+F257+F325+F328+F340+F341+F342+F343+F372+F373+F374+F375+F376+F377+F378+F379+F380+F381+F382+F445+F449+F454+F455+F462+F478+F479+F480+F481+F482+F484+F485+F487+F509+F510+F511+F512+F513+F521+F522+F545+F550+F600+F619+F620+F638+F639</f>
        <v>257782353</v>
      </c>
      <c r="G655" s="1590">
        <f>G21+G22+G35+G36+G41+G42+G73+G74+G75+G83+G89+G103+G104+G126+G139+G168+G203+G217+G223+G230+G237+G242+G243+G244+G245+G246+G247+G248+G249+G250+G251+G252+G253+G254+G256+G257+G325+G328+G340+G341+G342+G343+G372+G373+G374+G375+G376+G377+G378+G379+G380+G381+G382+G445+G449+G454+G455+G462+G478+G479+G480+G481+G482+G484+G485+G487+G509+G510+G511+G512+G513+G521+G522+G545+G550+G600+G619+G620+G638+G639</f>
        <v>215633428</v>
      </c>
      <c r="H655" s="1592">
        <f t="shared" si="264"/>
        <v>0.92248490646944037</v>
      </c>
      <c r="I655" s="1590">
        <f>I21+I22+I35+I36+I41+I42+I73+I74+I75+I83+I89+I103+I104+I126+I139+I168+I203+I217+I223+I230+I237+I242+I243+I244+I245+I246+I247+I248+I249+I250+I251+I252+I253+I254+I256+I257+I273+I325+I328+I340+I341+I342+I343+I372+I373+I374+I375+I376+I377+I378+I379+I380+I381+I382+I445+I449+I454+I455+I462+I478+I479+I480+I481+I482+I484+I485+I487+I509+I510+I511+I512+I513+I521+I522+I545+I550+I600+I619+I620+I638+I639</f>
        <v>12577093</v>
      </c>
      <c r="J655" s="1591">
        <f>J21+J22+J35+J36+J41+J42+J73+J74+J75+J83+J89+J103+J104+J126+J139+J168+J203+J217+J223+J230+J237+J242+J243+J244+J245+J246+J247+J248+J249+J250+J251+J252+J253+J254+J256+J257+J273+J325+J328+J340+J341+J342+J343+J372+J373+J374+J375+J376+J377+J378+J379+J380+J381+J382+J445+J449+J454+J455+J462+J478+J479+J480+J481+J482+J484+J485+J487+J509+J510+J511+J512+J513+J521+J522+J545+J550+J600+J619+J620+J638+J639</f>
        <v>228210521</v>
      </c>
      <c r="K655" s="1593"/>
      <c r="L655" s="1588">
        <f t="shared" si="263"/>
        <v>0.8852837222724862</v>
      </c>
    </row>
    <row r="656" spans="1:13" hidden="1">
      <c r="A656" s="3217" t="s">
        <v>723</v>
      </c>
      <c r="B656" s="3218"/>
      <c r="C656" s="3218"/>
      <c r="D656" s="1589"/>
      <c r="E656" s="1590">
        <f>E13+E14+E15+E26+E34+E47+E54+E69+E70+E71+E76+E95+E100+E101+E125+E127+E134+E144+E145+E146+E147+E154+E155+E156+E161+E165+E166+E167+E169+E178+E196+E204+E208+E209+E211+E212+E213+E214+E215+E216+E224+E232+E233+E241+E255+E258+E260+E261+E283+E284+E285+E289+E290+E295+E299+E305+E309+E317+E321+E352+E365+E370+E388+E389+E391+E400+E402+E403+E404+E456+E467+E468+E469+E470+E471+E472+E483+E486+E488+E489+E490+E498+E499+E503+E507+E508+E523+E524+E525+E526+E527+E528+E539+E541+E551+E556+E562+E563+E564+E565+E566+E570+E571+E572+E576+E633+E648+E649+E650</f>
        <v>678603637</v>
      </c>
      <c r="F656" s="1591">
        <f>F13+F14+F15+F26+F34+F47+F54+F69+F70+F71+F76+F95+F100+F101+F125+F127+F134+F144+F145+F146+F147+F154+F155+F156+F161+F165+F166+F167+F169+F178+F196+F204+F208+F209+F211+F212+F213+F214+F215+F216+F224+F232+F233+F241+F255+F258+F260+F261+F283+F284+F285+F289+F290+F295+F299+F305+F309+F317+F321+F352+F365+F370+F388+F389+F391+F400+F402+F403+F404+F456+F467+F468+F469+F470+F471+F472+F483+F486+F488+F489+F490+F498+F499+F503+F507+F508+F523+F524+F525+F526+F527+F528+F539+F541+F551+F556+F562+F563+F564+F565+F566+F570+F571+F572+F576+F633+F648+F649+F650</f>
        <v>680141892</v>
      </c>
      <c r="G656" s="1590">
        <f>G13+G14+G15+G26+G34+G47+G54+G69+G70+G71+G76+G95+G100+G101+G125+G127+G134+G144+G145+G146+G147+G154+G155+G156+G161+G165+G166+G167+G169+G178+G196+G204+G208+G209+G211+G212+G213+G214+G215+G216+G224+G232+G233+G241+G255+G258+G260+G261+G283+G284+G285+G289+G290+G295+G299+G305+G309+G317+G321+G352+G365+G370+G388+G389+G391+G400+G402+G403+G404+G456+G467+G468+G469+G470+G471+G472+G483+G486+G488+G489+G490+G498+G499+G503+G507+G508+G523+G524+G525+G526+G527+G528+G539+G541+G551+G556+G562+G563+G564+G565+G566+G570+G571+G572+G576+G633+G648+G649+G650</f>
        <v>582054282</v>
      </c>
      <c r="H656" s="1592">
        <f t="shared" si="264"/>
        <v>0.85772349316188534</v>
      </c>
      <c r="I656" s="1590">
        <f>I13+I14+I15+I26+I34+I47+I54+I69+I70+I71+I76+I95+I100+I101+I125+I127+I134+I144+I145+I146+I147+I154+I155+I156+I161+I165+I166+I167+I169+I178+I196+I204+I208+I209+I211+I212+I213+I214+I215+I216+I224+I232+I233+I241+I255+I258+I260+I261+I283+I284+I285+I289+I290+I295+I299+I305+I309+I317+I321+I352+I365+I370+I388+I389+I391+I400+I402+I403+I404+I456+I467+I468+I469+I470+I471+I472+I483+I486+I488+I489+I490+I498+I499+I503+I507+I508+I523+I524+I525+I526+I527+I528+I539+I541+I551+I556+I562+I563+I564+I565+I566+I570+I571+I572+I576+I633+I648+I649+I650</f>
        <v>272286987</v>
      </c>
      <c r="J656" s="1591">
        <f>J13+J14+J15+J26+J34+J47+J54+J69+J70+J71+J76+J95+J100+J101+J125+J127+J134+J144+J145+J146+J147+J154+J155+J156+J161+J165+J166+J167+J169+J178+J196+J204+J208+J209+J211+J212+J213+J214+J215+J216+J224+J232+J233+J241+J255+J258+J260+J261+J283+J284+J285+J289+J290+J295+J299+J305+J309+J317+J321+J352+J365+J370+J388+J389+J391+J400+J402+J403+J404+J456+J467+J468+J469+J470+J471+J472+J483+J486+J488+J489+J490+J498+J499+J503+J507+J508+J523+J524+J525+J526+J527+J528+J539+J541+J551+J556+J562+J563+J564+J565+J566+J570+J571+J572+J576+J633+J648+J649+J650</f>
        <v>854341269</v>
      </c>
      <c r="K656" s="1593"/>
      <c r="L656" s="1588">
        <f t="shared" si="263"/>
        <v>1.2561221107668517</v>
      </c>
    </row>
    <row r="657" spans="1:12" s="1604" customFormat="1" ht="15.75" thickBot="1">
      <c r="A657" s="1594" t="s">
        <v>724</v>
      </c>
      <c r="B657" s="1595"/>
      <c r="C657" s="1596"/>
      <c r="D657" s="1597"/>
      <c r="E657" s="1598">
        <f>E16+E23+E30+E37+E43+E48+E78+E84+E92+E97+E105+E122+E128+E148+E157+E162+E170+E174+E179+E186+E199+E205+E219+E225+E234+E238+E279+E313+E358+E397+E418+E437+E442+E644+E262+E286+E291+E296+E306+E310+E322+E330+E344+E354+E367+E384+E393+E426+E446+E457+E464+E475+E504+E516+E542+E546+E552+E559+E567+E573+E640+E634+E56+E301+E405+E412+E491+E529+E596+E601+E608+E621+E628+E651+E140+E136+E583+E590+E192+E422+E500+E535+E577+E615+E431</f>
        <v>279085378</v>
      </c>
      <c r="F657" s="1599">
        <f>F16+F23+F30+F37+F43+F48+F78+F84+F92+F97+F105+F122+F128+F148+F157+F162+F170+F174+F179+F186+F199+F205+F219+F225+F234+F238+F279+F313+F358+F397+F418+F437+F442+F644+F262+F286+F291+F296+F306+F310+F322+F330+F344+F354+F367+F384+F393+F426+F446+F457+F464+F475+F504+F516+F542+F546+F552+F559+F567+F573+F640+F634+F56+F301+F405+F412+F491+F529+F596+F601+F608+F621+F628+F651+F140+F136+F583+F590+F192+F422+F500+F535+F577+F615+F431</f>
        <v>358074330</v>
      </c>
      <c r="G657" s="1598">
        <f>G16+G23+G30+G37+G43+G48+G78+G84+G92+G97+G105+G122+G128+G148+G157+G162+G170+G174+G179+G186+G199+G205+G219+G225+G234+G238+G279+G313+G358+G397+G418+G437+G442+G644+G262+G286+G291+G296+G306+G310+G322+G330+G344+G354+G367+G384+G393+G426+G446+G457+G464+G475+G504+G516+G542+G546+G552+G559+G567+G573+G640+G634+G56+G301+G405+G412+G491+G529+G596+G601+G608+G621+G628+G651+G140+G136+G583+G590+G192+G422+G500+G535+G577+G615+G431</f>
        <v>300893665</v>
      </c>
      <c r="H657" s="1600">
        <f t="shared" si="264"/>
        <v>1.0781419906563503</v>
      </c>
      <c r="I657" s="1598">
        <f>I16+I23+I30+I37+I43+I48+I78+I84+I92+I97+I105+I122+I128+I148+I157+I162+I170+I174+I179+I186+I199+I205+I219+I225+I234+I238+I279+I313+I358+I397+I418+I437+I442+I644+I262+I286+I291+I296+I306+I310+I322+I330+I344+I354+I367+I384+I393+I426+I446+I457+I464+I475+I504+I516+I542+I546+I552+I559+I567+I573+I640+I634+I56+I301+I405+I412+I491+I529+I596+I601+I608+I621+I628+I651+I140+I136+I583+I590+I192+I422+I500+I535+I577+I615+I431</f>
        <v>18794436</v>
      </c>
      <c r="J657" s="1601">
        <f>J16+J23+J30+J37+J43+J48+J78+J84+J92+J97+J105+J122+J128+J148+J157+J162+J170+J174+J179+J186+J199+J205+J219+J225+J234+J238+J279+J313+J358+J397+J418+J437+J442+J644+J262+J286+J291+J296+J306+J310+J322+J330+J344+J354+J367+J384+J393+J426+J446+J457+J464+J475+J504+J516+J542+J546+J552+J559+J567+J573+J640+J634+J56+J301+J405+J412+J491+J529+J596+J601+J608+J621+J628+J651+J140+J136+J583+J590+J192+J422+J500+J535+J577+J615+J431</f>
        <v>319688101</v>
      </c>
      <c r="K657" s="1602"/>
      <c r="L657" s="1603">
        <f t="shared" si="263"/>
        <v>0.89279815450607702</v>
      </c>
    </row>
    <row r="658" spans="1:12" s="1604" customFormat="1" hidden="1">
      <c r="A658" s="3219" t="s">
        <v>722</v>
      </c>
      <c r="B658" s="3220"/>
      <c r="C658" s="3220"/>
      <c r="D658" s="1605"/>
      <c r="E658" s="1606">
        <f>E80+E85+E86+E107+E108+E109+E110+E111+E112+E113+E115+E116+E117+E118+E263+E264+E265+E266+E267+E268+E331+E332+E333+E345+E347+E414+E427+E622</f>
        <v>274604578</v>
      </c>
      <c r="F658" s="1607">
        <f>F80+F85+F86+F107+F108+F109+F110+F111+F112+F113+F115+F116+F117+F118+F263+F264+F265+F266+F267+F268+F331+F332+F333+F345+F347+F414+F427+F622</f>
        <v>350620830</v>
      </c>
      <c r="G658" s="1606">
        <f>G80+G85+G86+G107+G108+G109+G110+G111+G112+G113+G115+G116+G117+G118+G263+G264+G265+G266+G267+G268+G331+G332+G333+G345+G347+G414+G427+G622</f>
        <v>297892065</v>
      </c>
      <c r="H658" s="1608">
        <f t="shared" si="264"/>
        <v>1.0848037100095251</v>
      </c>
      <c r="I658" s="1609">
        <f>I80+I85+I86+I106+I107+I108+I109+I110+I111+I112+I113+I115+I116+I117+I118+I263+I264+I265+I266+I267+I268+I331+I332+I333+I345+I347+I414+I427+I428+I622</f>
        <v>18794436</v>
      </c>
      <c r="J658" s="1610">
        <f>J80+J85+J86+J106+J107+J108+J109+J110+J111+J112+J113+J115+J116+J117+J118+J263+J264+J265+J266+J267+J268+J331+J332+J333+J345+J347+J414+J427+J428+J622</f>
        <v>316686501</v>
      </c>
      <c r="K658" s="1611"/>
      <c r="L658" s="556">
        <f t="shared" si="263"/>
        <v>0.90321644894856934</v>
      </c>
    </row>
    <row r="659" spans="1:12" s="1604" customFormat="1" ht="15.75" hidden="1" thickBot="1">
      <c r="A659" s="3221" t="s">
        <v>723</v>
      </c>
      <c r="B659" s="3222"/>
      <c r="C659" s="3222"/>
      <c r="D659" s="1612"/>
      <c r="E659" s="1613">
        <f>E57+E149+E150+E220+E269+E302+E334+E406+E458+E494+E530</f>
        <v>4480800</v>
      </c>
      <c r="F659" s="1614">
        <f>F57+F149+F150+F220+F269+F302+F334+F406+F458+F494+F530</f>
        <v>7453500</v>
      </c>
      <c r="G659" s="1613">
        <f>G57+G149+G150+G220+G269+G302+G334+G406+G458+G494+G530</f>
        <v>3001600</v>
      </c>
      <c r="H659" s="1615">
        <f t="shared" si="264"/>
        <v>0.66988037850383864</v>
      </c>
      <c r="I659" s="1613">
        <f>I57+I149+I150+I220+I269+I302+I334+I406+I458+I494+I530</f>
        <v>0</v>
      </c>
      <c r="J659" s="1616">
        <f>J57+J149+J150+J220+J269+J302+J334+J406+J458+J494+J530</f>
        <v>3001600</v>
      </c>
      <c r="K659" s="1617"/>
      <c r="L659" s="1618">
        <f t="shared" si="263"/>
        <v>0.40271013617763468</v>
      </c>
    </row>
    <row r="660" spans="1:12" s="1604" customFormat="1">
      <c r="A660" s="835"/>
      <c r="B660" s="835"/>
      <c r="C660" s="835"/>
      <c r="D660" s="708"/>
      <c r="H660" s="1619"/>
      <c r="I660" s="1620"/>
      <c r="J660" s="1620"/>
    </row>
    <row r="661" spans="1:12" s="1604" customFormat="1" ht="15.75">
      <c r="A661" s="835"/>
      <c r="B661" s="835"/>
      <c r="C661" s="1621"/>
      <c r="D661" s="1622"/>
      <c r="E661" s="1623"/>
      <c r="F661" s="1623"/>
      <c r="G661" s="1623"/>
      <c r="H661" s="1619"/>
      <c r="I661" s="1620"/>
      <c r="J661" s="1620"/>
    </row>
    <row r="662" spans="1:12" s="1604" customFormat="1" ht="15.75" hidden="1">
      <c r="A662" s="835"/>
      <c r="B662" s="835"/>
      <c r="C662" s="1624" t="s">
        <v>725</v>
      </c>
      <c r="E662" s="1623">
        <f>E654+E657</f>
        <v>1191441813</v>
      </c>
      <c r="F662" s="1623">
        <f t="shared" ref="F662:G662" si="265">F654+F657</f>
        <v>1295998575</v>
      </c>
      <c r="G662" s="1623">
        <f t="shared" si="265"/>
        <v>1098581375</v>
      </c>
      <c r="H662" s="1619">
        <f>G662/E662</f>
        <v>0.92206045063486453</v>
      </c>
      <c r="I662" s="1620"/>
      <c r="J662" s="1620"/>
    </row>
    <row r="663" spans="1:12" s="1604" customFormat="1" hidden="1">
      <c r="A663" s="835"/>
      <c r="B663" s="835"/>
      <c r="C663" s="835"/>
      <c r="D663" s="708"/>
      <c r="E663" s="1604">
        <f>E652-E662</f>
        <v>0</v>
      </c>
      <c r="F663" s="1604">
        <f t="shared" ref="F663:G663" si="266">F652-F662</f>
        <v>0</v>
      </c>
      <c r="G663" s="1604">
        <f t="shared" si="266"/>
        <v>0</v>
      </c>
      <c r="H663" s="1619"/>
      <c r="I663" s="1620"/>
      <c r="J663" s="1620"/>
    </row>
    <row r="664" spans="1:12" s="1604" customFormat="1" hidden="1">
      <c r="A664" s="835"/>
      <c r="B664" s="835"/>
      <c r="C664" s="835"/>
      <c r="D664" s="708"/>
      <c r="H664" s="1619"/>
      <c r="I664" s="1620"/>
      <c r="J664" s="1620"/>
    </row>
    <row r="665" spans="1:12" s="1604" customFormat="1" hidden="1">
      <c r="A665" s="835"/>
      <c r="B665" s="835"/>
      <c r="C665" s="835"/>
      <c r="D665" s="708"/>
      <c r="E665" s="1604">
        <f>E655+E656</f>
        <v>912356435</v>
      </c>
      <c r="F665" s="1604">
        <f t="shared" ref="F665:G665" si="267">F655+F656</f>
        <v>937924245</v>
      </c>
      <c r="G665" s="1604">
        <f t="shared" si="267"/>
        <v>797687710</v>
      </c>
      <c r="H665" s="1619">
        <f>G665/E665</f>
        <v>0.87431586976201903</v>
      </c>
      <c r="I665" s="1620"/>
      <c r="J665" s="1620"/>
    </row>
    <row r="666" spans="1:12" s="1604" customFormat="1" hidden="1">
      <c r="A666" s="835"/>
      <c r="B666" s="835"/>
      <c r="C666" s="835"/>
      <c r="D666" s="708"/>
      <c r="E666" s="1604">
        <f>E654-E665</f>
        <v>0</v>
      </c>
      <c r="F666" s="1604">
        <f t="shared" ref="F666:G666" si="268">F654-F665</f>
        <v>0</v>
      </c>
      <c r="G666" s="1604">
        <f t="shared" si="268"/>
        <v>0</v>
      </c>
      <c r="H666" s="1619"/>
      <c r="I666" s="1620"/>
      <c r="J666" s="1620"/>
    </row>
    <row r="667" spans="1:12" s="1604" customFormat="1" hidden="1">
      <c r="A667" s="835"/>
      <c r="B667" s="835"/>
      <c r="C667" s="835"/>
      <c r="D667" s="708"/>
      <c r="G667" s="1625"/>
      <c r="H667" s="1619"/>
      <c r="I667" s="1620"/>
      <c r="J667" s="1620"/>
    </row>
    <row r="668" spans="1:12" s="1604" customFormat="1" hidden="1">
      <c r="A668" s="835"/>
      <c r="B668" s="835"/>
      <c r="C668" s="835"/>
      <c r="D668" s="708"/>
      <c r="E668" s="1604">
        <f>E658+E659</f>
        <v>279085378</v>
      </c>
      <c r="F668" s="1604">
        <f t="shared" ref="F668:G668" si="269">F658+F659</f>
        <v>358074330</v>
      </c>
      <c r="G668" s="1604">
        <f t="shared" si="269"/>
        <v>300893665</v>
      </c>
      <c r="H668" s="1619">
        <f>G668/E668</f>
        <v>1.0781419906563503</v>
      </c>
      <c r="I668" s="1620"/>
      <c r="J668" s="1620"/>
    </row>
    <row r="669" spans="1:12" s="1604" customFormat="1" hidden="1">
      <c r="A669" s="835"/>
      <c r="B669" s="835"/>
      <c r="C669" s="835"/>
      <c r="D669" s="708"/>
      <c r="E669" s="1604">
        <f>E657-E668</f>
        <v>0</v>
      </c>
      <c r="F669" s="1604">
        <f t="shared" ref="F669:G669" si="270">F657-F668</f>
        <v>0</v>
      </c>
      <c r="G669" s="1604">
        <f t="shared" si="270"/>
        <v>0</v>
      </c>
      <c r="H669" s="1619"/>
      <c r="I669" s="1620"/>
      <c r="J669" s="1620"/>
    </row>
    <row r="670" spans="1:12" s="1604" customFormat="1" hidden="1">
      <c r="A670" s="835"/>
      <c r="B670" s="835"/>
      <c r="C670" s="835"/>
      <c r="D670" s="708"/>
      <c r="G670" s="1625"/>
      <c r="H670" s="1619"/>
      <c r="I670" s="1620"/>
      <c r="J670" s="1620"/>
    </row>
    <row r="671" spans="1:12" s="1604" customFormat="1">
      <c r="A671" s="835"/>
      <c r="B671" s="835"/>
      <c r="C671" s="835"/>
      <c r="D671" s="708"/>
      <c r="G671" s="1625"/>
      <c r="H671" s="1619"/>
      <c r="I671" s="1620"/>
      <c r="J671" s="1620"/>
    </row>
    <row r="672" spans="1:12" s="1604" customFormat="1">
      <c r="A672" s="835"/>
      <c r="B672" s="835"/>
      <c r="C672" s="835"/>
      <c r="D672" s="708"/>
      <c r="G672" s="1625"/>
      <c r="H672" s="1619"/>
      <c r="I672" s="1620"/>
      <c r="J672" s="1620"/>
    </row>
    <row r="673" spans="1:10" s="1604" customFormat="1">
      <c r="A673" s="835"/>
      <c r="B673" s="835"/>
      <c r="C673" s="835"/>
      <c r="D673" s="708"/>
      <c r="G673" s="1625"/>
      <c r="H673" s="1619"/>
      <c r="I673" s="1620"/>
      <c r="J673" s="1620"/>
    </row>
    <row r="674" spans="1:10" s="1604" customFormat="1">
      <c r="A674" s="835"/>
      <c r="B674" s="835"/>
      <c r="C674" s="835"/>
      <c r="D674" s="1626"/>
      <c r="G674" s="1625"/>
      <c r="H674" s="1619"/>
      <c r="I674" s="1620"/>
      <c r="J674" s="1620"/>
    </row>
    <row r="675" spans="1:10" s="1604" customFormat="1">
      <c r="A675" s="835"/>
      <c r="B675" s="835"/>
      <c r="C675" s="835"/>
      <c r="D675" s="708"/>
      <c r="G675" s="1625"/>
      <c r="H675" s="1619"/>
      <c r="I675" s="1620"/>
      <c r="J675" s="1620"/>
    </row>
    <row r="676" spans="1:10" s="1604" customFormat="1">
      <c r="A676" s="835"/>
      <c r="B676" s="835"/>
      <c r="C676" s="835"/>
      <c r="D676" s="708"/>
      <c r="G676" s="1625"/>
      <c r="H676" s="1619"/>
      <c r="I676" s="1620"/>
      <c r="J676" s="1620"/>
    </row>
    <row r="677" spans="1:10" s="1604" customFormat="1">
      <c r="A677" s="835"/>
      <c r="B677" s="835"/>
      <c r="C677" s="835"/>
      <c r="D677" s="708"/>
      <c r="G677" s="1625"/>
      <c r="H677" s="1619"/>
      <c r="I677" s="1620"/>
      <c r="J677" s="1620"/>
    </row>
    <row r="678" spans="1:10" s="1604" customFormat="1">
      <c r="A678" s="835"/>
      <c r="B678" s="835"/>
      <c r="C678" s="835"/>
      <c r="D678" s="835"/>
      <c r="G678" s="1625"/>
      <c r="H678" s="1619"/>
      <c r="I678" s="1620"/>
      <c r="J678" s="1620"/>
    </row>
    <row r="679" spans="1:10" s="1604" customFormat="1">
      <c r="A679" s="835"/>
      <c r="B679" s="835"/>
      <c r="C679" s="835"/>
      <c r="D679" s="835"/>
      <c r="G679" s="1625"/>
      <c r="H679" s="1619"/>
      <c r="I679" s="1620"/>
      <c r="J679" s="1620"/>
    </row>
    <row r="680" spans="1:10" s="1604" customFormat="1">
      <c r="A680" s="835"/>
      <c r="B680" s="835"/>
      <c r="C680" s="835"/>
      <c r="D680" s="835"/>
      <c r="G680" s="1625"/>
      <c r="H680" s="1619"/>
      <c r="I680" s="1620"/>
      <c r="J680" s="1620"/>
    </row>
    <row r="681" spans="1:10" s="1604" customFormat="1">
      <c r="A681" s="835"/>
      <c r="B681" s="835"/>
      <c r="C681" s="835"/>
      <c r="D681" s="835"/>
      <c r="G681" s="1625"/>
      <c r="H681" s="1619"/>
      <c r="I681" s="1620"/>
      <c r="J681" s="1620"/>
    </row>
    <row r="682" spans="1:10" s="1604" customFormat="1">
      <c r="A682" s="835"/>
      <c r="B682" s="835"/>
      <c r="C682" s="835"/>
      <c r="D682" s="835"/>
      <c r="G682" s="1625"/>
      <c r="H682" s="1619"/>
      <c r="I682" s="1620"/>
      <c r="J682" s="1620"/>
    </row>
    <row r="683" spans="1:10" s="1604" customFormat="1">
      <c r="A683" s="835"/>
      <c r="B683" s="835"/>
      <c r="C683" s="835"/>
      <c r="D683" s="835"/>
      <c r="G683" s="1625"/>
      <c r="H683" s="1619"/>
      <c r="I683" s="1620"/>
      <c r="J683" s="1620"/>
    </row>
    <row r="684" spans="1:10" s="1604" customFormat="1">
      <c r="A684" s="835"/>
      <c r="B684" s="835"/>
      <c r="C684" s="835"/>
      <c r="D684" s="835"/>
      <c r="G684" s="1625"/>
      <c r="H684" s="1619"/>
      <c r="I684" s="1620"/>
      <c r="J684" s="1620"/>
    </row>
    <row r="685" spans="1:10" s="1604" customFormat="1">
      <c r="A685" s="835"/>
      <c r="B685" s="835"/>
      <c r="C685" s="835"/>
      <c r="D685" s="835"/>
      <c r="G685" s="1625"/>
      <c r="H685" s="1619"/>
      <c r="I685" s="1620"/>
      <c r="J685" s="1620"/>
    </row>
    <row r="686" spans="1:10" s="1604" customFormat="1">
      <c r="A686" s="835"/>
      <c r="B686" s="835"/>
      <c r="C686" s="835"/>
      <c r="D686" s="835"/>
      <c r="G686" s="1625"/>
      <c r="H686" s="1619"/>
      <c r="I686" s="1620"/>
      <c r="J686" s="1620"/>
    </row>
    <row r="687" spans="1:10" s="1604" customFormat="1">
      <c r="A687" s="835"/>
      <c r="B687" s="835"/>
      <c r="C687" s="835"/>
      <c r="D687" s="835"/>
      <c r="G687" s="1625"/>
      <c r="H687" s="1619"/>
      <c r="I687" s="1620"/>
      <c r="J687" s="1620"/>
    </row>
    <row r="688" spans="1:10" s="1604" customFormat="1">
      <c r="A688" s="835"/>
      <c r="B688" s="835"/>
      <c r="C688" s="835"/>
      <c r="D688" s="835"/>
      <c r="G688" s="1625"/>
      <c r="H688" s="1619"/>
      <c r="I688" s="1620"/>
      <c r="J688" s="1620"/>
    </row>
    <row r="689" spans="1:13" s="1604" customFormat="1">
      <c r="A689" s="835"/>
      <c r="B689" s="835"/>
      <c r="C689" s="1627"/>
      <c r="D689" s="1627"/>
      <c r="E689" s="1628"/>
      <c r="F689" s="1628"/>
      <c r="G689" s="1629"/>
      <c r="H689" s="1630"/>
      <c r="I689" s="1631"/>
      <c r="J689" s="1631"/>
      <c r="K689" s="1628"/>
      <c r="L689" s="1628"/>
      <c r="M689" s="1628"/>
    </row>
    <row r="690" spans="1:13" s="1604" customFormat="1">
      <c r="A690" s="835"/>
      <c r="B690" s="835"/>
      <c r="C690" s="835"/>
      <c r="D690" s="835"/>
      <c r="G690" s="1625"/>
      <c r="H690" s="1619"/>
      <c r="I690" s="1620"/>
      <c r="J690" s="1620"/>
    </row>
    <row r="691" spans="1:13" s="1604" customFormat="1">
      <c r="A691" s="835"/>
      <c r="B691" s="835"/>
      <c r="C691" s="835"/>
      <c r="D691" s="835"/>
      <c r="G691" s="1625"/>
      <c r="H691" s="1619"/>
      <c r="I691" s="1620"/>
      <c r="J691" s="1620"/>
    </row>
    <row r="692" spans="1:13" s="1604" customFormat="1">
      <c r="A692" s="835"/>
      <c r="B692" s="835"/>
      <c r="C692" s="835"/>
      <c r="D692" s="835"/>
      <c r="G692" s="1625"/>
      <c r="H692" s="1619"/>
      <c r="I692" s="1620"/>
      <c r="J692" s="1620"/>
    </row>
    <row r="693" spans="1:13" s="1604" customFormat="1">
      <c r="A693" s="835"/>
      <c r="B693" s="835"/>
      <c r="C693" s="835"/>
      <c r="D693" s="835"/>
      <c r="G693" s="1625"/>
      <c r="H693" s="1619"/>
      <c r="I693" s="1620"/>
      <c r="J693" s="1620"/>
    </row>
    <row r="694" spans="1:13" s="1604" customFormat="1">
      <c r="A694" s="835"/>
      <c r="B694" s="835"/>
      <c r="C694" s="835"/>
      <c r="D694" s="835"/>
      <c r="G694" s="1625"/>
      <c r="H694" s="1619"/>
      <c r="I694" s="1620"/>
      <c r="J694" s="1620"/>
    </row>
    <row r="695" spans="1:13" s="1604" customFormat="1">
      <c r="A695" s="835"/>
      <c r="B695" s="835"/>
      <c r="C695" s="835"/>
      <c r="D695" s="835"/>
      <c r="G695" s="1625"/>
      <c r="H695" s="1619"/>
      <c r="I695" s="1620"/>
      <c r="J695" s="1620"/>
    </row>
    <row r="696" spans="1:13" s="1604" customFormat="1">
      <c r="A696" s="835"/>
      <c r="B696" s="835"/>
      <c r="C696" s="835"/>
      <c r="D696" s="835"/>
      <c r="G696" s="1625"/>
      <c r="H696" s="1619"/>
      <c r="I696" s="1620"/>
      <c r="J696" s="1620"/>
    </row>
    <row r="697" spans="1:13" s="1604" customFormat="1">
      <c r="A697" s="835"/>
      <c r="B697" s="835"/>
      <c r="C697" s="835"/>
      <c r="D697" s="835"/>
      <c r="G697" s="1625"/>
      <c r="H697" s="1619"/>
      <c r="I697" s="1620"/>
      <c r="J697" s="1620"/>
    </row>
    <row r="698" spans="1:13" s="1604" customFormat="1">
      <c r="A698" s="835"/>
      <c r="B698" s="835"/>
      <c r="C698" s="835"/>
      <c r="D698" s="835"/>
      <c r="G698" s="1625"/>
      <c r="H698" s="1619"/>
      <c r="I698" s="1620"/>
      <c r="J698" s="1620"/>
    </row>
    <row r="699" spans="1:13" s="1604" customFormat="1">
      <c r="A699" s="835"/>
      <c r="B699" s="835"/>
      <c r="C699" s="1627"/>
      <c r="D699" s="1627"/>
      <c r="E699" s="1628"/>
      <c r="F699" s="1628"/>
      <c r="G699" s="1629"/>
      <c r="H699" s="1630"/>
      <c r="I699" s="1631"/>
      <c r="J699" s="1631"/>
      <c r="K699" s="1628"/>
      <c r="L699" s="1628"/>
      <c r="M699" s="1628"/>
    </row>
    <row r="700" spans="1:13" s="1604" customFormat="1">
      <c r="A700" s="835"/>
      <c r="B700" s="835"/>
      <c r="C700" s="835"/>
      <c r="D700" s="835"/>
      <c r="G700" s="1625"/>
      <c r="H700" s="1619"/>
      <c r="I700" s="1620"/>
      <c r="J700" s="1620"/>
    </row>
    <row r="701" spans="1:13" s="1604" customFormat="1">
      <c r="A701" s="835"/>
      <c r="B701" s="835"/>
      <c r="C701" s="835"/>
      <c r="D701" s="835"/>
      <c r="G701" s="1625"/>
      <c r="H701" s="1619"/>
      <c r="I701" s="1620"/>
      <c r="J701" s="1620"/>
    </row>
    <row r="702" spans="1:13" s="1604" customFormat="1">
      <c r="A702" s="835"/>
      <c r="B702" s="835"/>
      <c r="C702" s="835"/>
      <c r="D702" s="835"/>
      <c r="G702" s="1625"/>
      <c r="H702" s="1619"/>
      <c r="I702" s="1620"/>
      <c r="J702" s="1620"/>
    </row>
    <row r="703" spans="1:13" s="1604" customFormat="1">
      <c r="A703" s="835"/>
      <c r="B703" s="835"/>
      <c r="C703" s="835"/>
      <c r="D703" s="835"/>
      <c r="G703" s="1625"/>
      <c r="H703" s="1619"/>
      <c r="I703" s="1620"/>
      <c r="J703" s="1620"/>
    </row>
    <row r="704" spans="1:13" s="1604" customFormat="1">
      <c r="A704" s="835"/>
      <c r="B704" s="835"/>
      <c r="C704" s="835"/>
      <c r="D704" s="835"/>
      <c r="G704" s="1625"/>
      <c r="H704" s="1619"/>
      <c r="I704" s="1620"/>
      <c r="J704" s="1620"/>
    </row>
    <row r="705" spans="1:10" s="1604" customFormat="1">
      <c r="A705" s="835"/>
      <c r="B705" s="835"/>
      <c r="C705" s="835"/>
      <c r="D705" s="835"/>
      <c r="G705" s="1625"/>
      <c r="H705" s="1619"/>
      <c r="I705" s="1620"/>
      <c r="J705" s="1620"/>
    </row>
    <row r="706" spans="1:10" s="1604" customFormat="1">
      <c r="A706" s="835"/>
      <c r="B706" s="835"/>
      <c r="C706" s="835"/>
      <c r="D706" s="835"/>
      <c r="G706" s="1625"/>
      <c r="H706" s="1619"/>
      <c r="I706" s="1620"/>
      <c r="J706" s="1620"/>
    </row>
    <row r="707" spans="1:10" s="1604" customFormat="1">
      <c r="A707" s="835"/>
      <c r="B707" s="835"/>
      <c r="C707" s="835"/>
      <c r="D707" s="835"/>
      <c r="G707" s="1625"/>
      <c r="H707" s="1619"/>
      <c r="I707" s="1620"/>
      <c r="J707" s="1620"/>
    </row>
    <row r="708" spans="1:10" s="1604" customFormat="1">
      <c r="A708" s="835"/>
      <c r="B708" s="835"/>
      <c r="C708" s="835"/>
      <c r="D708" s="835"/>
      <c r="G708" s="1625"/>
      <c r="H708" s="1619"/>
      <c r="I708" s="1620"/>
      <c r="J708" s="1620"/>
    </row>
    <row r="709" spans="1:10" s="1604" customFormat="1">
      <c r="A709" s="835"/>
      <c r="B709" s="835"/>
      <c r="C709" s="835"/>
      <c r="D709" s="835"/>
      <c r="G709" s="1625"/>
      <c r="H709" s="1619"/>
      <c r="I709" s="1620"/>
      <c r="J709" s="1620"/>
    </row>
    <row r="710" spans="1:10" s="1604" customFormat="1">
      <c r="A710" s="835"/>
      <c r="B710" s="835"/>
      <c r="C710" s="835"/>
      <c r="D710" s="835"/>
      <c r="G710" s="1625"/>
      <c r="H710" s="1619"/>
      <c r="I710" s="1620"/>
      <c r="J710" s="1620"/>
    </row>
    <row r="711" spans="1:10" s="1604" customFormat="1">
      <c r="A711" s="835"/>
      <c r="B711" s="835"/>
      <c r="C711" s="835"/>
      <c r="D711" s="835"/>
      <c r="G711" s="1625"/>
      <c r="H711" s="1619"/>
      <c r="I711" s="1620"/>
      <c r="J711" s="1620"/>
    </row>
    <row r="712" spans="1:10" s="1604" customFormat="1">
      <c r="A712" s="835"/>
      <c r="B712" s="835"/>
      <c r="C712" s="835"/>
      <c r="D712" s="835"/>
      <c r="G712" s="1625"/>
      <c r="H712" s="1619"/>
      <c r="I712" s="1620"/>
      <c r="J712" s="1620"/>
    </row>
    <row r="713" spans="1:10" s="1604" customFormat="1">
      <c r="A713" s="835"/>
      <c r="B713" s="835"/>
      <c r="C713" s="835"/>
      <c r="D713" s="835"/>
      <c r="G713" s="1625"/>
      <c r="H713" s="1619"/>
      <c r="I713" s="1620"/>
      <c r="J713" s="1620"/>
    </row>
    <row r="714" spans="1:10" s="1604" customFormat="1">
      <c r="A714" s="835"/>
      <c r="B714" s="835"/>
      <c r="C714" s="835"/>
      <c r="D714" s="835"/>
      <c r="G714" s="1625"/>
      <c r="H714" s="1619"/>
      <c r="I714" s="1620"/>
      <c r="J714" s="1620"/>
    </row>
    <row r="715" spans="1:10" s="1604" customFormat="1">
      <c r="A715" s="835"/>
      <c r="B715" s="835"/>
      <c r="C715" s="835"/>
      <c r="D715" s="835"/>
      <c r="G715" s="1625"/>
      <c r="H715" s="1619"/>
      <c r="I715" s="1620"/>
      <c r="J715" s="1620"/>
    </row>
    <row r="716" spans="1:10" s="1604" customFormat="1">
      <c r="A716" s="835"/>
      <c r="B716" s="835"/>
      <c r="C716" s="835"/>
      <c r="D716" s="835"/>
      <c r="G716" s="1625"/>
      <c r="H716" s="1619"/>
      <c r="I716" s="1620"/>
      <c r="J716" s="1620"/>
    </row>
    <row r="717" spans="1:10" s="1604" customFormat="1">
      <c r="A717" s="835"/>
      <c r="B717" s="835"/>
      <c r="C717" s="835"/>
      <c r="D717" s="835"/>
      <c r="G717" s="1625"/>
      <c r="H717" s="1619"/>
      <c r="I717" s="1620"/>
      <c r="J717" s="1620"/>
    </row>
    <row r="718" spans="1:10" s="1604" customFormat="1">
      <c r="A718" s="835"/>
      <c r="B718" s="835"/>
      <c r="C718" s="835"/>
      <c r="D718" s="835"/>
      <c r="G718" s="1625"/>
      <c r="H718" s="1619"/>
      <c r="I718" s="1620"/>
      <c r="J718" s="1620"/>
    </row>
    <row r="719" spans="1:10" s="1604" customFormat="1">
      <c r="A719" s="835"/>
      <c r="B719" s="835"/>
      <c r="C719" s="835"/>
      <c r="D719" s="835"/>
      <c r="G719" s="1625"/>
      <c r="H719" s="1619"/>
      <c r="I719" s="1620"/>
      <c r="J719" s="1620"/>
    </row>
    <row r="720" spans="1:10" s="1604" customFormat="1">
      <c r="A720" s="835"/>
      <c r="B720" s="835"/>
      <c r="C720" s="835"/>
      <c r="D720" s="835"/>
      <c r="G720" s="1625"/>
      <c r="H720" s="1619"/>
      <c r="I720" s="1620"/>
      <c r="J720" s="1620"/>
    </row>
    <row r="721" spans="1:10" s="1604" customFormat="1">
      <c r="A721" s="835"/>
      <c r="B721" s="835"/>
      <c r="C721" s="835"/>
      <c r="D721" s="835"/>
      <c r="G721" s="1625"/>
      <c r="H721" s="1619"/>
      <c r="I721" s="1620"/>
      <c r="J721" s="1620"/>
    </row>
    <row r="722" spans="1:10" s="1604" customFormat="1">
      <c r="A722" s="835"/>
      <c r="B722" s="835"/>
      <c r="C722" s="835"/>
      <c r="D722" s="835"/>
      <c r="G722" s="1625"/>
      <c r="H722" s="1619"/>
      <c r="I722" s="1620"/>
      <c r="J722" s="1620"/>
    </row>
    <row r="723" spans="1:10" s="1604" customFormat="1">
      <c r="A723" s="835"/>
      <c r="B723" s="835"/>
      <c r="C723" s="835"/>
      <c r="D723" s="835"/>
      <c r="G723" s="1625"/>
      <c r="H723" s="1619"/>
      <c r="I723" s="1620"/>
      <c r="J723" s="1620"/>
    </row>
    <row r="724" spans="1:10" s="1604" customFormat="1">
      <c r="A724" s="835"/>
      <c r="B724" s="835"/>
      <c r="C724" s="835"/>
      <c r="D724" s="835"/>
      <c r="G724" s="1625"/>
      <c r="H724" s="1619"/>
      <c r="I724" s="1620"/>
      <c r="J724" s="1620"/>
    </row>
    <row r="725" spans="1:10" s="1604" customFormat="1">
      <c r="A725" s="835"/>
      <c r="B725" s="835"/>
      <c r="C725" s="835"/>
      <c r="D725" s="835"/>
      <c r="G725" s="1625"/>
      <c r="H725" s="1619"/>
      <c r="I725" s="1620"/>
      <c r="J725" s="1620"/>
    </row>
    <row r="726" spans="1:10" s="1604" customFormat="1">
      <c r="A726" s="835"/>
      <c r="B726" s="835"/>
      <c r="C726" s="835"/>
      <c r="D726" s="835"/>
      <c r="G726" s="1625"/>
      <c r="H726" s="1619"/>
      <c r="I726" s="1620"/>
      <c r="J726" s="1620"/>
    </row>
    <row r="727" spans="1:10" s="1604" customFormat="1">
      <c r="A727" s="835"/>
      <c r="B727" s="835"/>
      <c r="C727" s="835"/>
      <c r="D727" s="835"/>
      <c r="G727" s="1625"/>
      <c r="H727" s="1619"/>
      <c r="I727" s="1620"/>
      <c r="J727" s="1620"/>
    </row>
    <row r="728" spans="1:10" s="1604" customFormat="1">
      <c r="A728" s="835"/>
      <c r="B728" s="835"/>
      <c r="C728" s="835"/>
      <c r="D728" s="835"/>
      <c r="G728" s="1625"/>
      <c r="H728" s="1619"/>
      <c r="I728" s="1620"/>
      <c r="J728" s="1620"/>
    </row>
    <row r="729" spans="1:10" s="1604" customFormat="1">
      <c r="A729" s="835"/>
      <c r="B729" s="835"/>
      <c r="C729" s="835"/>
      <c r="D729" s="835"/>
      <c r="G729" s="1625"/>
      <c r="H729" s="1619"/>
      <c r="I729" s="1620"/>
      <c r="J729" s="1620"/>
    </row>
    <row r="730" spans="1:10" s="1604" customFormat="1">
      <c r="A730" s="835"/>
      <c r="B730" s="835"/>
      <c r="C730" s="835"/>
      <c r="D730" s="835"/>
      <c r="G730" s="1625"/>
      <c r="H730" s="1619"/>
      <c r="I730" s="1620"/>
      <c r="J730" s="1620"/>
    </row>
    <row r="731" spans="1:10" s="1604" customFormat="1">
      <c r="A731" s="835"/>
      <c r="B731" s="835"/>
      <c r="C731" s="835"/>
      <c r="D731" s="835"/>
      <c r="G731" s="1625"/>
      <c r="H731" s="1619"/>
      <c r="I731" s="1620"/>
      <c r="J731" s="1620"/>
    </row>
    <row r="732" spans="1:10" s="1604" customFormat="1">
      <c r="A732" s="835"/>
      <c r="B732" s="835"/>
      <c r="C732" s="835"/>
      <c r="D732" s="835"/>
      <c r="G732" s="1625"/>
      <c r="H732" s="1619"/>
      <c r="I732" s="1620"/>
      <c r="J732" s="1620"/>
    </row>
    <row r="733" spans="1:10" s="1604" customFormat="1">
      <c r="A733" s="835"/>
      <c r="B733" s="835"/>
      <c r="C733" s="835"/>
      <c r="D733" s="835"/>
      <c r="G733" s="1625"/>
      <c r="H733" s="1619"/>
      <c r="I733" s="1620"/>
      <c r="J733" s="1620"/>
    </row>
    <row r="734" spans="1:10" s="1604" customFormat="1">
      <c r="A734" s="835"/>
      <c r="B734" s="835"/>
      <c r="C734" s="835"/>
      <c r="D734" s="835"/>
      <c r="G734" s="1625"/>
      <c r="H734" s="1619"/>
      <c r="I734" s="1620"/>
      <c r="J734" s="1620"/>
    </row>
    <row r="735" spans="1:10" s="1604" customFormat="1">
      <c r="A735" s="835"/>
      <c r="B735" s="835"/>
      <c r="C735" s="835"/>
      <c r="D735" s="835"/>
      <c r="G735" s="1625"/>
      <c r="H735" s="1619"/>
      <c r="I735" s="1620"/>
      <c r="J735" s="1620"/>
    </row>
    <row r="736" spans="1:10" s="1604" customFormat="1">
      <c r="A736" s="835"/>
      <c r="B736" s="835"/>
      <c r="C736" s="835"/>
      <c r="D736" s="835"/>
      <c r="G736" s="1625"/>
      <c r="H736" s="1619"/>
      <c r="I736" s="1620"/>
      <c r="J736" s="1620"/>
    </row>
    <row r="737" spans="1:10" s="1604" customFormat="1">
      <c r="A737" s="835"/>
      <c r="B737" s="835"/>
      <c r="C737" s="835"/>
      <c r="D737" s="835"/>
      <c r="G737" s="1625"/>
      <c r="H737" s="1619"/>
      <c r="I737" s="1620"/>
      <c r="J737" s="1620"/>
    </row>
    <row r="738" spans="1:10" s="1604" customFormat="1">
      <c r="A738" s="835"/>
      <c r="B738" s="835"/>
      <c r="C738" s="835"/>
      <c r="D738" s="835"/>
      <c r="G738" s="1625"/>
      <c r="H738" s="1619"/>
      <c r="I738" s="1620"/>
      <c r="J738" s="1620"/>
    </row>
    <row r="739" spans="1:10" s="1604" customFormat="1">
      <c r="A739" s="835"/>
      <c r="B739" s="835"/>
      <c r="C739" s="835"/>
      <c r="D739" s="835"/>
      <c r="G739" s="1625"/>
      <c r="H739" s="1619"/>
      <c r="I739" s="1620"/>
      <c r="J739" s="1620"/>
    </row>
    <row r="740" spans="1:10" s="1604" customFormat="1">
      <c r="A740" s="835"/>
      <c r="B740" s="835"/>
      <c r="C740" s="835"/>
      <c r="D740" s="835"/>
      <c r="G740" s="1625"/>
      <c r="H740" s="1619"/>
      <c r="I740" s="1620"/>
      <c r="J740" s="1620"/>
    </row>
    <row r="741" spans="1:10" s="1604" customFormat="1">
      <c r="A741" s="835"/>
      <c r="B741" s="835"/>
      <c r="C741" s="835"/>
      <c r="D741" s="835"/>
      <c r="G741" s="1625"/>
      <c r="H741" s="1619"/>
      <c r="I741" s="1620"/>
      <c r="J741" s="1620"/>
    </row>
    <row r="742" spans="1:10" s="1604" customFormat="1">
      <c r="A742" s="835"/>
      <c r="B742" s="835"/>
      <c r="C742" s="835"/>
      <c r="D742" s="835"/>
      <c r="G742" s="1625"/>
      <c r="H742" s="1619"/>
      <c r="I742" s="1620"/>
      <c r="J742" s="1620"/>
    </row>
    <row r="743" spans="1:10" s="1604" customFormat="1">
      <c r="A743" s="835"/>
      <c r="B743" s="835"/>
      <c r="C743" s="835"/>
      <c r="D743" s="835"/>
      <c r="G743" s="1625"/>
      <c r="H743" s="1619"/>
      <c r="I743" s="1620"/>
      <c r="J743" s="1620"/>
    </row>
    <row r="744" spans="1:10" s="1604" customFormat="1">
      <c r="A744" s="835"/>
      <c r="B744" s="835"/>
      <c r="C744" s="835"/>
      <c r="D744" s="835"/>
      <c r="G744" s="1625"/>
      <c r="H744" s="1619"/>
      <c r="I744" s="1620"/>
      <c r="J744" s="1620"/>
    </row>
    <row r="745" spans="1:10" s="1604" customFormat="1">
      <c r="A745" s="835"/>
      <c r="B745" s="835"/>
      <c r="C745" s="835"/>
      <c r="D745" s="835"/>
      <c r="G745" s="1625"/>
      <c r="H745" s="1619"/>
      <c r="I745" s="1620"/>
      <c r="J745" s="1620"/>
    </row>
    <row r="746" spans="1:10" s="1604" customFormat="1">
      <c r="A746" s="835"/>
      <c r="B746" s="835"/>
      <c r="C746" s="835"/>
      <c r="D746" s="835"/>
      <c r="G746" s="1625"/>
      <c r="H746" s="1619"/>
      <c r="I746" s="1620"/>
      <c r="J746" s="1620"/>
    </row>
    <row r="747" spans="1:10" s="1604" customFormat="1">
      <c r="A747" s="835"/>
      <c r="B747" s="835"/>
      <c r="C747" s="835"/>
      <c r="D747" s="835"/>
      <c r="G747" s="1625"/>
      <c r="H747" s="1619"/>
      <c r="I747" s="1620"/>
      <c r="J747" s="1620"/>
    </row>
    <row r="748" spans="1:10" s="1604" customFormat="1">
      <c r="A748" s="835"/>
      <c r="B748" s="835"/>
      <c r="C748" s="835"/>
      <c r="D748" s="835"/>
      <c r="G748" s="1625"/>
      <c r="H748" s="1619"/>
      <c r="I748" s="1620"/>
      <c r="J748" s="1620"/>
    </row>
    <row r="749" spans="1:10" s="1604" customFormat="1">
      <c r="A749" s="835"/>
      <c r="B749" s="835"/>
      <c r="C749" s="835"/>
      <c r="D749" s="835"/>
      <c r="G749" s="1625"/>
      <c r="H749" s="1619"/>
      <c r="I749" s="1620"/>
      <c r="J749" s="1620"/>
    </row>
    <row r="750" spans="1:10" s="1604" customFormat="1">
      <c r="A750" s="835"/>
      <c r="B750" s="835"/>
      <c r="C750" s="835"/>
      <c r="D750" s="835"/>
      <c r="G750" s="1625"/>
      <c r="H750" s="1619"/>
      <c r="I750" s="1620"/>
      <c r="J750" s="1620"/>
    </row>
    <row r="751" spans="1:10" s="1604" customFormat="1">
      <c r="A751" s="835"/>
      <c r="B751" s="835"/>
      <c r="C751" s="835"/>
      <c r="D751" s="835"/>
      <c r="G751" s="1625"/>
      <c r="H751" s="1619"/>
      <c r="I751" s="1620"/>
      <c r="J751" s="1620"/>
    </row>
    <row r="752" spans="1:10" s="1604" customFormat="1">
      <c r="A752" s="835"/>
      <c r="B752" s="835"/>
      <c r="C752" s="835"/>
      <c r="D752" s="835"/>
      <c r="G752" s="1625"/>
      <c r="H752" s="1619"/>
      <c r="I752" s="1620"/>
      <c r="J752" s="1620"/>
    </row>
    <row r="753" spans="1:10" s="1604" customFormat="1">
      <c r="A753" s="835"/>
      <c r="B753" s="835"/>
      <c r="C753" s="835"/>
      <c r="D753" s="835"/>
      <c r="G753" s="1625"/>
      <c r="H753" s="1619"/>
      <c r="I753" s="1620"/>
      <c r="J753" s="1620"/>
    </row>
    <row r="754" spans="1:10" s="1604" customFormat="1">
      <c r="A754" s="835"/>
      <c r="B754" s="835"/>
      <c r="C754" s="835"/>
      <c r="D754" s="835"/>
      <c r="G754" s="1625"/>
      <c r="H754" s="1619"/>
      <c r="I754" s="1620"/>
      <c r="J754" s="1620"/>
    </row>
    <row r="755" spans="1:10" s="1604" customFormat="1">
      <c r="A755" s="835"/>
      <c r="B755" s="835"/>
      <c r="C755" s="835"/>
      <c r="D755" s="835"/>
      <c r="G755" s="1625"/>
      <c r="H755" s="1619"/>
      <c r="I755" s="1620"/>
      <c r="J755" s="1620"/>
    </row>
    <row r="756" spans="1:10" s="1604" customFormat="1">
      <c r="A756" s="835"/>
      <c r="B756" s="835"/>
      <c r="C756" s="835"/>
      <c r="D756" s="835"/>
      <c r="G756" s="1625"/>
      <c r="H756" s="1619"/>
      <c r="I756" s="1620"/>
      <c r="J756" s="1620"/>
    </row>
    <row r="757" spans="1:10" s="1604" customFormat="1">
      <c r="A757" s="835"/>
      <c r="B757" s="835"/>
      <c r="C757" s="835"/>
      <c r="D757" s="835"/>
      <c r="G757" s="1625"/>
      <c r="H757" s="1619"/>
      <c r="I757" s="1620"/>
      <c r="J757" s="1620"/>
    </row>
    <row r="758" spans="1:10" s="1604" customFormat="1">
      <c r="A758" s="835"/>
      <c r="B758" s="835"/>
      <c r="C758" s="835"/>
      <c r="D758" s="835"/>
      <c r="G758" s="1625"/>
      <c r="H758" s="1619"/>
      <c r="I758" s="1620"/>
      <c r="J758" s="1620"/>
    </row>
    <row r="759" spans="1:10" s="1604" customFormat="1">
      <c r="A759" s="835"/>
      <c r="B759" s="835"/>
      <c r="C759" s="835"/>
      <c r="D759" s="835"/>
      <c r="G759" s="1625"/>
      <c r="H759" s="1619"/>
      <c r="I759" s="1620"/>
      <c r="J759" s="1620"/>
    </row>
    <row r="760" spans="1:10" s="1604" customFormat="1">
      <c r="A760" s="835"/>
      <c r="B760" s="835"/>
      <c r="C760" s="835"/>
      <c r="D760" s="835"/>
      <c r="G760" s="1625"/>
      <c r="H760" s="1619"/>
      <c r="I760" s="1620"/>
      <c r="J760" s="1620"/>
    </row>
    <row r="761" spans="1:10" s="1604" customFormat="1">
      <c r="A761" s="835"/>
      <c r="B761" s="835"/>
      <c r="C761" s="835"/>
      <c r="D761" s="835"/>
      <c r="G761" s="1625"/>
      <c r="H761" s="1619"/>
      <c r="I761" s="1620"/>
      <c r="J761" s="1620"/>
    </row>
    <row r="762" spans="1:10" s="1604" customFormat="1">
      <c r="A762" s="835"/>
      <c r="B762" s="835"/>
      <c r="C762" s="835"/>
      <c r="D762" s="835"/>
      <c r="G762" s="1625"/>
      <c r="H762" s="1619"/>
      <c r="I762" s="1620"/>
      <c r="J762" s="1620"/>
    </row>
    <row r="763" spans="1:10" s="1604" customFormat="1">
      <c r="A763" s="835"/>
      <c r="B763" s="835"/>
      <c r="C763" s="835"/>
      <c r="D763" s="835"/>
      <c r="G763" s="1625"/>
      <c r="H763" s="1619"/>
      <c r="I763" s="1620"/>
      <c r="J763" s="1620"/>
    </row>
    <row r="764" spans="1:10" s="1604" customFormat="1">
      <c r="A764" s="835"/>
      <c r="B764" s="835"/>
      <c r="C764" s="835"/>
      <c r="D764" s="835"/>
      <c r="G764" s="1625"/>
      <c r="H764" s="1619"/>
      <c r="I764" s="1620"/>
      <c r="J764" s="1620"/>
    </row>
    <row r="765" spans="1:10" s="1604" customFormat="1">
      <c r="A765" s="835"/>
      <c r="B765" s="835"/>
      <c r="C765" s="835"/>
      <c r="D765" s="835"/>
      <c r="G765" s="1625"/>
      <c r="H765" s="1619"/>
      <c r="I765" s="1620"/>
      <c r="J765" s="1620"/>
    </row>
    <row r="766" spans="1:10" s="1604" customFormat="1">
      <c r="A766" s="835"/>
      <c r="B766" s="835"/>
      <c r="C766" s="835"/>
      <c r="D766" s="835"/>
      <c r="G766" s="1625"/>
      <c r="H766" s="1619"/>
      <c r="I766" s="1620"/>
      <c r="J766" s="1620"/>
    </row>
    <row r="767" spans="1:10" s="1604" customFormat="1">
      <c r="A767" s="835"/>
      <c r="B767" s="835"/>
      <c r="C767" s="835"/>
      <c r="D767" s="835"/>
      <c r="G767" s="1625"/>
      <c r="H767" s="1619"/>
      <c r="I767" s="1620"/>
      <c r="J767" s="1620"/>
    </row>
    <row r="768" spans="1:10" s="1604" customFormat="1">
      <c r="A768" s="835"/>
      <c r="B768" s="835"/>
      <c r="C768" s="835"/>
      <c r="D768" s="835"/>
      <c r="G768" s="1625"/>
      <c r="H768" s="1619"/>
      <c r="I768" s="1620"/>
      <c r="J768" s="1620"/>
    </row>
    <row r="769" spans="1:10" s="1604" customFormat="1">
      <c r="A769" s="835"/>
      <c r="B769" s="835"/>
      <c r="C769" s="835"/>
      <c r="D769" s="835"/>
      <c r="G769" s="1625"/>
      <c r="H769" s="1619"/>
      <c r="I769" s="1620"/>
      <c r="J769" s="1620"/>
    </row>
    <row r="770" spans="1:10" s="1604" customFormat="1">
      <c r="A770" s="835"/>
      <c r="B770" s="835"/>
      <c r="C770" s="835"/>
      <c r="D770" s="835"/>
      <c r="G770" s="1625"/>
      <c r="H770" s="1619"/>
      <c r="I770" s="1620"/>
      <c r="J770" s="1620"/>
    </row>
    <row r="771" spans="1:10" s="1604" customFormat="1">
      <c r="A771" s="835"/>
      <c r="B771" s="835"/>
      <c r="C771" s="835"/>
      <c r="D771" s="835"/>
      <c r="G771" s="1625"/>
      <c r="H771" s="1619"/>
      <c r="I771" s="1620"/>
      <c r="J771" s="1620"/>
    </row>
    <row r="772" spans="1:10" s="1604" customFormat="1">
      <c r="A772" s="835"/>
      <c r="B772" s="835"/>
      <c r="C772" s="835"/>
      <c r="D772" s="835"/>
      <c r="G772" s="1625"/>
      <c r="H772" s="1619"/>
      <c r="I772" s="1620"/>
      <c r="J772" s="1620"/>
    </row>
    <row r="773" spans="1:10" s="1604" customFormat="1">
      <c r="A773" s="835"/>
      <c r="B773" s="835"/>
      <c r="C773" s="835"/>
      <c r="D773" s="835"/>
      <c r="G773" s="1625"/>
      <c r="H773" s="1619"/>
      <c r="I773" s="1620"/>
      <c r="J773" s="1620"/>
    </row>
    <row r="774" spans="1:10" s="1604" customFormat="1">
      <c r="A774" s="835"/>
      <c r="B774" s="835"/>
      <c r="C774" s="835"/>
      <c r="D774" s="835"/>
      <c r="G774" s="1625"/>
      <c r="H774" s="1619"/>
      <c r="I774" s="1620"/>
      <c r="J774" s="1620"/>
    </row>
    <row r="775" spans="1:10" s="1604" customFormat="1">
      <c r="A775" s="835"/>
      <c r="B775" s="835"/>
      <c r="C775" s="835"/>
      <c r="D775" s="835"/>
      <c r="G775" s="1625"/>
      <c r="H775" s="1619"/>
      <c r="I775" s="1620"/>
      <c r="J775" s="1620"/>
    </row>
    <row r="776" spans="1:10" s="1604" customFormat="1">
      <c r="A776" s="835"/>
      <c r="B776" s="835"/>
      <c r="C776" s="835"/>
      <c r="D776" s="835"/>
      <c r="G776" s="1625"/>
      <c r="H776" s="1619"/>
      <c r="I776" s="1620"/>
      <c r="J776" s="1620"/>
    </row>
    <row r="777" spans="1:10" s="1604" customFormat="1">
      <c r="A777" s="835"/>
      <c r="B777" s="835"/>
      <c r="C777" s="835"/>
      <c r="D777" s="835"/>
      <c r="G777" s="1625"/>
      <c r="H777" s="1619"/>
      <c r="I777" s="1620"/>
      <c r="J777" s="1620"/>
    </row>
    <row r="778" spans="1:10" s="1604" customFormat="1">
      <c r="A778" s="835"/>
      <c r="B778" s="835"/>
      <c r="C778" s="835"/>
      <c r="D778" s="835"/>
      <c r="G778" s="1625"/>
      <c r="H778" s="1619"/>
      <c r="I778" s="1620"/>
      <c r="J778" s="1620"/>
    </row>
    <row r="779" spans="1:10" s="1604" customFormat="1">
      <c r="A779" s="835"/>
      <c r="B779" s="835"/>
      <c r="C779" s="835"/>
      <c r="D779" s="835"/>
      <c r="G779" s="1625"/>
      <c r="H779" s="1619"/>
      <c r="I779" s="1620"/>
      <c r="J779" s="1620"/>
    </row>
    <row r="780" spans="1:10" s="1604" customFormat="1">
      <c r="A780" s="835"/>
      <c r="B780" s="835"/>
      <c r="C780" s="835"/>
      <c r="D780" s="835"/>
      <c r="G780" s="1625"/>
      <c r="H780" s="1619"/>
      <c r="I780" s="1620"/>
      <c r="J780" s="1620"/>
    </row>
    <row r="781" spans="1:10" s="1604" customFormat="1">
      <c r="A781" s="835"/>
      <c r="B781" s="835"/>
      <c r="C781" s="835"/>
      <c r="D781" s="835"/>
      <c r="G781" s="1625"/>
      <c r="H781" s="1619"/>
      <c r="I781" s="1620"/>
      <c r="J781" s="1620"/>
    </row>
    <row r="782" spans="1:10" s="1604" customFormat="1">
      <c r="A782" s="835"/>
      <c r="B782" s="835"/>
      <c r="C782" s="835"/>
      <c r="D782" s="835"/>
      <c r="G782" s="1625"/>
      <c r="H782" s="1619"/>
      <c r="I782" s="1620"/>
      <c r="J782" s="1620"/>
    </row>
    <row r="783" spans="1:10" s="1604" customFormat="1">
      <c r="A783" s="835"/>
      <c r="B783" s="835"/>
      <c r="C783" s="835"/>
      <c r="D783" s="835"/>
      <c r="G783" s="1625"/>
      <c r="H783" s="1619"/>
      <c r="I783" s="1620"/>
      <c r="J783" s="1620"/>
    </row>
    <row r="784" spans="1:10" s="1604" customFormat="1">
      <c r="A784" s="835"/>
      <c r="B784" s="835"/>
      <c r="C784" s="835"/>
      <c r="D784" s="835"/>
      <c r="G784" s="1625"/>
      <c r="H784" s="1619"/>
      <c r="I784" s="1620"/>
      <c r="J784" s="1620"/>
    </row>
    <row r="785" spans="1:10" s="1604" customFormat="1">
      <c r="A785" s="835"/>
      <c r="B785" s="835"/>
      <c r="C785" s="835"/>
      <c r="D785" s="835"/>
      <c r="G785" s="1625"/>
      <c r="H785" s="1619"/>
      <c r="I785" s="1620"/>
      <c r="J785" s="1620"/>
    </row>
    <row r="786" spans="1:10" s="1604" customFormat="1">
      <c r="A786" s="835"/>
      <c r="B786" s="835"/>
      <c r="C786" s="835"/>
      <c r="D786" s="835"/>
      <c r="G786" s="1625"/>
      <c r="H786" s="1619"/>
      <c r="I786" s="1620"/>
      <c r="J786" s="1620"/>
    </row>
    <row r="787" spans="1:10" s="1604" customFormat="1">
      <c r="A787" s="835"/>
      <c r="B787" s="835"/>
      <c r="C787" s="835"/>
      <c r="D787" s="835"/>
      <c r="G787" s="1625"/>
      <c r="H787" s="1619"/>
      <c r="I787" s="1620"/>
      <c r="J787" s="1620"/>
    </row>
    <row r="788" spans="1:10" s="1604" customFormat="1">
      <c r="A788" s="835"/>
      <c r="B788" s="835"/>
      <c r="C788" s="835"/>
      <c r="D788" s="835"/>
      <c r="G788" s="1625"/>
      <c r="H788" s="1619"/>
      <c r="I788" s="1620"/>
      <c r="J788" s="1620"/>
    </row>
    <row r="789" spans="1:10" s="1604" customFormat="1">
      <c r="A789" s="835"/>
      <c r="B789" s="835"/>
      <c r="C789" s="835"/>
      <c r="D789" s="835"/>
      <c r="G789" s="1625"/>
      <c r="H789" s="1619"/>
      <c r="I789" s="1620"/>
      <c r="J789" s="1620"/>
    </row>
    <row r="790" spans="1:10" s="1604" customFormat="1">
      <c r="A790" s="835"/>
      <c r="B790" s="835"/>
      <c r="C790" s="835"/>
      <c r="D790" s="835"/>
      <c r="G790" s="1625"/>
      <c r="H790" s="1619"/>
      <c r="I790" s="1620"/>
      <c r="J790" s="1620"/>
    </row>
    <row r="791" spans="1:10" s="1604" customFormat="1">
      <c r="A791" s="835"/>
      <c r="B791" s="835"/>
      <c r="C791" s="835"/>
      <c r="D791" s="835"/>
      <c r="G791" s="1625"/>
      <c r="H791" s="1619"/>
      <c r="I791" s="1620"/>
      <c r="J791" s="1620"/>
    </row>
    <row r="792" spans="1:10" s="1604" customFormat="1">
      <c r="A792" s="835"/>
      <c r="B792" s="835"/>
      <c r="C792" s="835"/>
      <c r="D792" s="835"/>
      <c r="G792" s="1625"/>
      <c r="H792" s="1619"/>
      <c r="I792" s="1620"/>
      <c r="J792" s="1620"/>
    </row>
    <row r="793" spans="1:10" s="1604" customFormat="1">
      <c r="A793" s="835"/>
      <c r="B793" s="835"/>
      <c r="C793" s="835"/>
      <c r="D793" s="835"/>
      <c r="G793" s="1625"/>
      <c r="H793" s="1619"/>
      <c r="I793" s="1620"/>
      <c r="J793" s="1620"/>
    </row>
    <row r="794" spans="1:10" s="1604" customFormat="1">
      <c r="A794" s="835"/>
      <c r="B794" s="835"/>
      <c r="C794" s="835"/>
      <c r="D794" s="835"/>
      <c r="G794" s="1625"/>
      <c r="H794" s="1619"/>
      <c r="I794" s="1620"/>
      <c r="J794" s="1620"/>
    </row>
    <row r="795" spans="1:10" s="1604" customFormat="1">
      <c r="A795" s="835"/>
      <c r="B795" s="835"/>
      <c r="C795" s="835"/>
      <c r="D795" s="835"/>
      <c r="G795" s="1625"/>
      <c r="H795" s="1619"/>
      <c r="I795" s="1620"/>
      <c r="J795" s="1620"/>
    </row>
    <row r="796" spans="1:10" s="1604" customFormat="1">
      <c r="A796" s="835"/>
      <c r="B796" s="835"/>
      <c r="C796" s="835"/>
      <c r="D796" s="835"/>
      <c r="G796" s="1625"/>
      <c r="H796" s="1619"/>
      <c r="I796" s="1620"/>
      <c r="J796" s="1620"/>
    </row>
    <row r="797" spans="1:10" s="1604" customFormat="1">
      <c r="A797" s="835"/>
      <c r="B797" s="835"/>
      <c r="C797" s="835"/>
      <c r="D797" s="835"/>
      <c r="G797" s="1625"/>
      <c r="H797" s="1619"/>
      <c r="I797" s="1620"/>
      <c r="J797" s="1620"/>
    </row>
    <row r="798" spans="1:10" s="1604" customFormat="1">
      <c r="A798" s="835"/>
      <c r="B798" s="835"/>
      <c r="C798" s="835"/>
      <c r="D798" s="835"/>
      <c r="G798" s="1625"/>
      <c r="H798" s="1619"/>
      <c r="I798" s="1620"/>
      <c r="J798" s="1620"/>
    </row>
    <row r="799" spans="1:10" s="1604" customFormat="1">
      <c r="A799" s="835"/>
      <c r="B799" s="835"/>
      <c r="C799" s="835"/>
      <c r="D799" s="835"/>
      <c r="G799" s="1625"/>
      <c r="H799" s="1619"/>
      <c r="I799" s="1620"/>
      <c r="J799" s="1620"/>
    </row>
    <row r="800" spans="1:10" s="1604" customFormat="1">
      <c r="A800" s="835"/>
      <c r="B800" s="835"/>
      <c r="C800" s="835"/>
      <c r="D800" s="835"/>
      <c r="G800" s="1625"/>
      <c r="H800" s="1619"/>
      <c r="I800" s="1620"/>
      <c r="J800" s="1620"/>
    </row>
    <row r="801" spans="1:10" s="1604" customFormat="1">
      <c r="A801" s="835"/>
      <c r="B801" s="835"/>
      <c r="C801" s="835"/>
      <c r="D801" s="835"/>
      <c r="G801" s="1625"/>
      <c r="H801" s="1619"/>
      <c r="I801" s="1620"/>
      <c r="J801" s="1620"/>
    </row>
    <row r="802" spans="1:10" s="1604" customFormat="1">
      <c r="A802" s="835"/>
      <c r="B802" s="835"/>
      <c r="C802" s="835"/>
      <c r="D802" s="835"/>
      <c r="G802" s="1625"/>
      <c r="H802" s="1619"/>
      <c r="I802" s="1620"/>
      <c r="J802" s="1620"/>
    </row>
    <row r="803" spans="1:10" s="1604" customFormat="1">
      <c r="A803" s="835"/>
      <c r="B803" s="835"/>
      <c r="C803" s="835"/>
      <c r="D803" s="835"/>
      <c r="G803" s="1625"/>
      <c r="H803" s="1619"/>
      <c r="I803" s="1620"/>
      <c r="J803" s="1620"/>
    </row>
    <row r="804" spans="1:10" s="1604" customFormat="1">
      <c r="A804" s="835"/>
      <c r="B804" s="835"/>
      <c r="C804" s="835"/>
      <c r="D804" s="835"/>
      <c r="G804" s="1625"/>
      <c r="H804" s="1619"/>
      <c r="I804" s="1620"/>
      <c r="J804" s="1620"/>
    </row>
    <row r="805" spans="1:10" s="1604" customFormat="1">
      <c r="A805" s="835"/>
      <c r="B805" s="835"/>
      <c r="C805" s="835"/>
      <c r="D805" s="835"/>
      <c r="G805" s="1625"/>
      <c r="H805" s="1619"/>
      <c r="I805" s="1620"/>
      <c r="J805" s="1620"/>
    </row>
    <row r="806" spans="1:10" s="1604" customFormat="1">
      <c r="A806" s="835"/>
      <c r="B806" s="835"/>
      <c r="C806" s="835"/>
      <c r="D806" s="835"/>
      <c r="G806" s="1625"/>
      <c r="H806" s="1619"/>
      <c r="I806" s="1620"/>
      <c r="J806" s="1620"/>
    </row>
    <row r="807" spans="1:10" s="1604" customFormat="1">
      <c r="A807" s="835"/>
      <c r="B807" s="835"/>
      <c r="C807" s="835"/>
      <c r="D807" s="835"/>
      <c r="G807" s="1625"/>
      <c r="H807" s="1619"/>
      <c r="I807" s="1620"/>
      <c r="J807" s="1620"/>
    </row>
    <row r="808" spans="1:10" s="1604" customFormat="1">
      <c r="A808" s="835"/>
      <c r="B808" s="835"/>
      <c r="C808" s="835"/>
      <c r="D808" s="835"/>
      <c r="G808" s="1625"/>
      <c r="H808" s="1619"/>
      <c r="I808" s="1620"/>
      <c r="J808" s="1620"/>
    </row>
    <row r="809" spans="1:10" s="1604" customFormat="1">
      <c r="A809" s="835"/>
      <c r="B809" s="835"/>
      <c r="C809" s="835"/>
      <c r="D809" s="835"/>
      <c r="G809" s="1625"/>
      <c r="H809" s="1619"/>
      <c r="I809" s="1620"/>
      <c r="J809" s="1620"/>
    </row>
    <row r="810" spans="1:10" s="1604" customFormat="1">
      <c r="A810" s="835"/>
      <c r="B810" s="835"/>
      <c r="C810" s="835"/>
      <c r="D810" s="835"/>
      <c r="G810" s="1625"/>
      <c r="H810" s="1619"/>
      <c r="I810" s="1620"/>
      <c r="J810" s="1620"/>
    </row>
    <row r="811" spans="1:10" s="1604" customFormat="1">
      <c r="A811" s="835"/>
      <c r="B811" s="835"/>
      <c r="C811" s="835"/>
      <c r="D811" s="835"/>
      <c r="G811" s="1625"/>
      <c r="H811" s="1619"/>
      <c r="I811" s="1620"/>
      <c r="J811" s="1620"/>
    </row>
    <row r="812" spans="1:10" s="1604" customFormat="1">
      <c r="A812" s="835"/>
      <c r="B812" s="835"/>
      <c r="C812" s="835"/>
      <c r="D812" s="835"/>
      <c r="G812" s="1625"/>
      <c r="H812" s="1619"/>
      <c r="I812" s="1620"/>
      <c r="J812" s="1620"/>
    </row>
    <row r="813" spans="1:10" s="1604" customFormat="1">
      <c r="A813" s="835"/>
      <c r="B813" s="835"/>
      <c r="C813" s="835"/>
      <c r="D813" s="835"/>
      <c r="G813" s="1625"/>
      <c r="H813" s="1619"/>
      <c r="I813" s="1620"/>
      <c r="J813" s="1620"/>
    </row>
    <row r="814" spans="1:10" s="1604" customFormat="1">
      <c r="A814" s="835"/>
      <c r="B814" s="835"/>
      <c r="C814" s="835"/>
      <c r="D814" s="835"/>
      <c r="G814" s="1625"/>
      <c r="H814" s="1619"/>
      <c r="I814" s="1620"/>
      <c r="J814" s="1620"/>
    </row>
    <row r="815" spans="1:10" s="1604" customFormat="1">
      <c r="A815" s="835"/>
      <c r="B815" s="835"/>
      <c r="C815" s="835"/>
      <c r="D815" s="835"/>
      <c r="G815" s="1625"/>
      <c r="H815" s="1619"/>
      <c r="I815" s="1620"/>
      <c r="J815" s="1620"/>
    </row>
    <row r="816" spans="1:10" s="1604" customFormat="1">
      <c r="A816" s="835"/>
      <c r="B816" s="835"/>
      <c r="C816" s="835"/>
      <c r="D816" s="835"/>
      <c r="G816" s="1625"/>
      <c r="H816" s="1619"/>
      <c r="I816" s="1620"/>
      <c r="J816" s="1620"/>
    </row>
    <row r="817" spans="1:10" s="1604" customFormat="1">
      <c r="A817" s="835"/>
      <c r="B817" s="835"/>
      <c r="C817" s="835"/>
      <c r="D817" s="835"/>
      <c r="G817" s="1625"/>
      <c r="H817" s="1619"/>
      <c r="I817" s="1620"/>
      <c r="J817" s="1620"/>
    </row>
    <row r="818" spans="1:10" s="1604" customFormat="1">
      <c r="A818" s="835"/>
      <c r="B818" s="835"/>
      <c r="C818" s="835"/>
      <c r="D818" s="835"/>
      <c r="G818" s="1625"/>
      <c r="H818" s="1619"/>
      <c r="I818" s="1620"/>
      <c r="J818" s="1620"/>
    </row>
    <row r="819" spans="1:10" s="1604" customFormat="1">
      <c r="A819" s="835"/>
      <c r="B819" s="835"/>
      <c r="C819" s="835"/>
      <c r="D819" s="835"/>
      <c r="G819" s="1625"/>
      <c r="H819" s="1619"/>
      <c r="I819" s="1620"/>
      <c r="J819" s="1620"/>
    </row>
    <row r="820" spans="1:10" s="1604" customFormat="1">
      <c r="A820" s="835"/>
      <c r="B820" s="835"/>
      <c r="C820" s="835"/>
      <c r="D820" s="835"/>
      <c r="G820" s="1625"/>
      <c r="H820" s="1619"/>
      <c r="I820" s="1620"/>
      <c r="J820" s="1620"/>
    </row>
    <row r="821" spans="1:10" s="1604" customFormat="1">
      <c r="A821" s="835"/>
      <c r="B821" s="835"/>
      <c r="C821" s="835"/>
      <c r="D821" s="835"/>
      <c r="G821" s="1625"/>
      <c r="H821" s="1619"/>
      <c r="I821" s="1620"/>
      <c r="J821" s="1620"/>
    </row>
    <row r="822" spans="1:10" s="1604" customFormat="1">
      <c r="A822" s="835"/>
      <c r="B822" s="835"/>
      <c r="C822" s="835"/>
      <c r="D822" s="835"/>
      <c r="G822" s="1625"/>
      <c r="H822" s="1619"/>
      <c r="I822" s="1620"/>
      <c r="J822" s="1620"/>
    </row>
    <row r="823" spans="1:10" s="1604" customFormat="1">
      <c r="A823" s="835"/>
      <c r="B823" s="835"/>
      <c r="C823" s="835"/>
      <c r="D823" s="835"/>
      <c r="G823" s="1625"/>
      <c r="H823" s="1619"/>
      <c r="I823" s="1620"/>
      <c r="J823" s="1620"/>
    </row>
    <row r="824" spans="1:10" s="1604" customFormat="1">
      <c r="A824" s="835"/>
      <c r="B824" s="835"/>
      <c r="C824" s="835"/>
      <c r="D824" s="835"/>
      <c r="G824" s="1625"/>
      <c r="H824" s="1619"/>
      <c r="I824" s="1620"/>
      <c r="J824" s="1620"/>
    </row>
    <row r="825" spans="1:10" s="1604" customFormat="1">
      <c r="A825" s="835"/>
      <c r="B825" s="835"/>
      <c r="C825" s="835"/>
      <c r="D825" s="835"/>
      <c r="G825" s="1625"/>
      <c r="H825" s="1619"/>
      <c r="I825" s="1620"/>
      <c r="J825" s="1620"/>
    </row>
    <row r="826" spans="1:10" s="1604" customFormat="1">
      <c r="A826" s="835"/>
      <c r="B826" s="835"/>
      <c r="C826" s="835"/>
      <c r="D826" s="835"/>
      <c r="G826" s="1625"/>
      <c r="H826" s="1619"/>
      <c r="I826" s="1620"/>
      <c r="J826" s="1620"/>
    </row>
    <row r="827" spans="1:10" s="1604" customFormat="1">
      <c r="A827" s="835"/>
      <c r="B827" s="835"/>
      <c r="C827" s="835"/>
      <c r="D827" s="835"/>
      <c r="G827" s="1625"/>
      <c r="H827" s="1619"/>
      <c r="I827" s="1620"/>
      <c r="J827" s="1620"/>
    </row>
    <row r="828" spans="1:10" s="1604" customFormat="1">
      <c r="A828" s="835"/>
      <c r="B828" s="835"/>
      <c r="C828" s="835"/>
      <c r="D828" s="835"/>
      <c r="G828" s="1625"/>
      <c r="H828" s="1619"/>
      <c r="I828" s="1620"/>
      <c r="J828" s="1620"/>
    </row>
    <row r="829" spans="1:10" s="1604" customFormat="1">
      <c r="A829" s="835"/>
      <c r="B829" s="835"/>
      <c r="C829" s="835"/>
      <c r="D829" s="835"/>
      <c r="G829" s="1625"/>
      <c r="H829" s="1619"/>
      <c r="I829" s="1620"/>
      <c r="J829" s="1620"/>
    </row>
    <row r="830" spans="1:10" s="1604" customFormat="1">
      <c r="A830" s="835"/>
      <c r="B830" s="835"/>
      <c r="C830" s="835"/>
      <c r="D830" s="835"/>
      <c r="G830" s="1625"/>
      <c r="H830" s="1619"/>
      <c r="I830" s="1620"/>
      <c r="J830" s="1620"/>
    </row>
    <row r="831" spans="1:10" s="1604" customFormat="1">
      <c r="A831" s="835"/>
      <c r="B831" s="835"/>
      <c r="C831" s="835"/>
      <c r="D831" s="835"/>
      <c r="G831" s="1625"/>
      <c r="H831" s="1619"/>
      <c r="I831" s="1620"/>
      <c r="J831" s="1620"/>
    </row>
    <row r="832" spans="1:10" s="1604" customFormat="1">
      <c r="A832" s="835"/>
      <c r="B832" s="835"/>
      <c r="C832" s="835"/>
      <c r="D832" s="835"/>
      <c r="G832" s="1625"/>
      <c r="H832" s="1619"/>
      <c r="I832" s="1620"/>
      <c r="J832" s="1620"/>
    </row>
    <row r="833" spans="1:10" s="1604" customFormat="1">
      <c r="A833" s="835"/>
      <c r="B833" s="835"/>
      <c r="C833" s="835"/>
      <c r="D833" s="835"/>
      <c r="G833" s="1625"/>
      <c r="H833" s="1619"/>
      <c r="I833" s="1620"/>
      <c r="J833" s="1620"/>
    </row>
    <row r="834" spans="1:10" s="1604" customFormat="1">
      <c r="A834" s="835"/>
      <c r="B834" s="835"/>
      <c r="C834" s="835"/>
      <c r="D834" s="835"/>
      <c r="G834" s="1625"/>
      <c r="H834" s="1619"/>
      <c r="I834" s="1620"/>
      <c r="J834" s="1620"/>
    </row>
    <row r="835" spans="1:10" s="1604" customFormat="1">
      <c r="A835" s="835"/>
      <c r="B835" s="835"/>
      <c r="C835" s="835"/>
      <c r="D835" s="835"/>
      <c r="G835" s="1625"/>
      <c r="H835" s="1619"/>
      <c r="I835" s="1620"/>
      <c r="J835" s="1620"/>
    </row>
    <row r="836" spans="1:10" s="1604" customFormat="1">
      <c r="A836" s="835"/>
      <c r="B836" s="835"/>
      <c r="C836" s="835"/>
      <c r="D836" s="835"/>
      <c r="G836" s="1625"/>
      <c r="H836" s="1619"/>
      <c r="I836" s="1620"/>
      <c r="J836" s="1620"/>
    </row>
    <row r="837" spans="1:10" s="1604" customFormat="1">
      <c r="A837" s="835"/>
      <c r="B837" s="835"/>
      <c r="C837" s="835"/>
      <c r="D837" s="835"/>
      <c r="G837" s="1625"/>
      <c r="H837" s="1619"/>
      <c r="I837" s="1620"/>
      <c r="J837" s="1620"/>
    </row>
    <row r="838" spans="1:10" s="1604" customFormat="1">
      <c r="A838" s="835"/>
      <c r="B838" s="835"/>
      <c r="C838" s="835"/>
      <c r="D838" s="835"/>
      <c r="G838" s="1625"/>
      <c r="H838" s="1619"/>
      <c r="I838" s="1620"/>
      <c r="J838" s="1620"/>
    </row>
    <row r="839" spans="1:10" s="1604" customFormat="1">
      <c r="A839" s="835"/>
      <c r="B839" s="835"/>
      <c r="C839" s="835"/>
      <c r="D839" s="835"/>
      <c r="G839" s="1625"/>
      <c r="H839" s="1619"/>
      <c r="I839" s="1620"/>
      <c r="J839" s="1620"/>
    </row>
    <row r="840" spans="1:10" s="1604" customFormat="1">
      <c r="A840" s="835"/>
      <c r="B840" s="835"/>
      <c r="C840" s="835"/>
      <c r="D840" s="835"/>
      <c r="G840" s="1625"/>
      <c r="H840" s="1619"/>
      <c r="I840" s="1620"/>
      <c r="J840" s="1620"/>
    </row>
    <row r="841" spans="1:10" s="1604" customFormat="1">
      <c r="A841" s="835"/>
      <c r="B841" s="835"/>
      <c r="C841" s="835"/>
      <c r="D841" s="835"/>
      <c r="G841" s="1625"/>
      <c r="H841" s="1619"/>
      <c r="I841" s="1620"/>
      <c r="J841" s="1620"/>
    </row>
    <row r="842" spans="1:10" s="1604" customFormat="1">
      <c r="A842" s="835"/>
      <c r="B842" s="835"/>
      <c r="C842" s="835"/>
      <c r="D842" s="835"/>
      <c r="G842" s="1625"/>
      <c r="H842" s="1619"/>
      <c r="I842" s="1620"/>
      <c r="J842" s="1620"/>
    </row>
    <row r="843" spans="1:10" s="1604" customFormat="1">
      <c r="A843" s="835"/>
      <c r="B843" s="835"/>
      <c r="C843" s="835"/>
      <c r="D843" s="835"/>
      <c r="G843" s="1625"/>
      <c r="H843" s="1619"/>
      <c r="I843" s="1620"/>
      <c r="J843" s="1620"/>
    </row>
    <row r="844" spans="1:10" s="1604" customFormat="1">
      <c r="A844" s="835"/>
      <c r="B844" s="835"/>
      <c r="C844" s="835"/>
      <c r="D844" s="835"/>
      <c r="G844" s="1625"/>
      <c r="H844" s="1619"/>
      <c r="I844" s="1620"/>
      <c r="J844" s="1620"/>
    </row>
    <row r="845" spans="1:10" s="1604" customFormat="1">
      <c r="A845" s="835"/>
      <c r="B845" s="835"/>
      <c r="C845" s="835"/>
      <c r="D845" s="835"/>
      <c r="G845" s="1625"/>
      <c r="H845" s="1619"/>
      <c r="I845" s="1620"/>
      <c r="J845" s="1620"/>
    </row>
    <row r="846" spans="1:10" s="1604" customFormat="1">
      <c r="A846" s="835"/>
      <c r="B846" s="835"/>
      <c r="C846" s="835"/>
      <c r="D846" s="835"/>
      <c r="G846" s="1625"/>
      <c r="H846" s="1619"/>
      <c r="I846" s="1620"/>
      <c r="J846" s="1620"/>
    </row>
    <row r="847" spans="1:10" s="1604" customFormat="1">
      <c r="A847" s="835"/>
      <c r="B847" s="835"/>
      <c r="C847" s="835"/>
      <c r="D847" s="835"/>
      <c r="G847" s="1625"/>
      <c r="H847" s="1619"/>
      <c r="I847" s="1620"/>
      <c r="J847" s="1620"/>
    </row>
    <row r="848" spans="1:10" s="1604" customFormat="1">
      <c r="A848" s="835"/>
      <c r="B848" s="835"/>
      <c r="C848" s="835"/>
      <c r="D848" s="835"/>
      <c r="G848" s="1625"/>
      <c r="H848" s="1619"/>
      <c r="I848" s="1620"/>
      <c r="J848" s="1620"/>
    </row>
    <row r="849" spans="1:10" s="1604" customFormat="1">
      <c r="A849" s="835"/>
      <c r="B849" s="835"/>
      <c r="C849" s="835"/>
      <c r="D849" s="835"/>
      <c r="G849" s="1625"/>
      <c r="H849" s="1619"/>
      <c r="I849" s="1620"/>
      <c r="J849" s="1620"/>
    </row>
    <row r="850" spans="1:10" s="1604" customFormat="1">
      <c r="A850" s="835"/>
      <c r="B850" s="835"/>
      <c r="C850" s="835"/>
      <c r="D850" s="835"/>
      <c r="G850" s="1625"/>
      <c r="H850" s="1619"/>
      <c r="I850" s="1620"/>
      <c r="J850" s="1620"/>
    </row>
    <row r="851" spans="1:10" s="1604" customFormat="1">
      <c r="A851" s="835"/>
      <c r="B851" s="835"/>
      <c r="C851" s="835"/>
      <c r="D851" s="835"/>
      <c r="G851" s="1625"/>
      <c r="H851" s="1619"/>
      <c r="I851" s="1620"/>
      <c r="J851" s="1620"/>
    </row>
    <row r="852" spans="1:10" s="1604" customFormat="1">
      <c r="A852" s="835"/>
      <c r="B852" s="835"/>
      <c r="C852" s="835"/>
      <c r="D852" s="835"/>
      <c r="G852" s="1625"/>
      <c r="H852" s="1619"/>
      <c r="I852" s="1620"/>
      <c r="J852" s="1620"/>
    </row>
    <row r="853" spans="1:10" s="1604" customFormat="1">
      <c r="A853" s="835"/>
      <c r="B853" s="835"/>
      <c r="C853" s="835"/>
      <c r="D853" s="835"/>
      <c r="G853" s="1625"/>
      <c r="H853" s="1619"/>
      <c r="I853" s="1620"/>
      <c r="J853" s="1620"/>
    </row>
    <row r="854" spans="1:10" s="1604" customFormat="1">
      <c r="A854" s="835"/>
      <c r="B854" s="835"/>
      <c r="C854" s="835"/>
      <c r="D854" s="835"/>
      <c r="G854" s="1625"/>
      <c r="H854" s="1619"/>
      <c r="I854" s="1620"/>
      <c r="J854" s="1620"/>
    </row>
    <row r="855" spans="1:10" s="1604" customFormat="1">
      <c r="A855" s="835"/>
      <c r="B855" s="835"/>
      <c r="C855" s="835"/>
      <c r="D855" s="835"/>
      <c r="G855" s="1625"/>
      <c r="H855" s="1619"/>
      <c r="I855" s="1620"/>
      <c r="J855" s="1620"/>
    </row>
    <row r="856" spans="1:10" s="1604" customFormat="1">
      <c r="A856" s="835"/>
      <c r="B856" s="835"/>
      <c r="C856" s="835"/>
      <c r="D856" s="835"/>
      <c r="G856" s="1625"/>
      <c r="H856" s="1619"/>
      <c r="I856" s="1620"/>
      <c r="J856" s="1620"/>
    </row>
    <row r="857" spans="1:10" s="1604" customFormat="1">
      <c r="A857" s="835"/>
      <c r="B857" s="835"/>
      <c r="C857" s="835"/>
      <c r="D857" s="835"/>
      <c r="G857" s="1625"/>
      <c r="H857" s="1619"/>
      <c r="I857" s="1620"/>
      <c r="J857" s="1620"/>
    </row>
    <row r="858" spans="1:10" s="1604" customFormat="1">
      <c r="A858" s="835"/>
      <c r="B858" s="835"/>
      <c r="C858" s="835"/>
      <c r="D858" s="835"/>
      <c r="G858" s="1625"/>
      <c r="H858" s="1619"/>
      <c r="I858" s="1620"/>
      <c r="J858" s="1620"/>
    </row>
    <row r="859" spans="1:10" s="1604" customFormat="1">
      <c r="A859" s="835"/>
      <c r="B859" s="835"/>
      <c r="C859" s="835"/>
      <c r="D859" s="835"/>
      <c r="G859" s="1625"/>
      <c r="H859" s="1619"/>
      <c r="I859" s="1620"/>
      <c r="J859" s="1620"/>
    </row>
    <row r="860" spans="1:10" s="1604" customFormat="1">
      <c r="A860" s="835"/>
      <c r="B860" s="835"/>
      <c r="C860" s="835"/>
      <c r="D860" s="835"/>
      <c r="G860" s="1625"/>
      <c r="H860" s="1619"/>
      <c r="I860" s="1620"/>
      <c r="J860" s="1620"/>
    </row>
    <row r="861" spans="1:10" s="1604" customFormat="1">
      <c r="A861" s="835"/>
      <c r="B861" s="835"/>
      <c r="C861" s="835"/>
      <c r="D861" s="835"/>
      <c r="G861" s="1625"/>
      <c r="H861" s="1619"/>
      <c r="I861" s="1620"/>
      <c r="J861" s="1620"/>
    </row>
    <row r="862" spans="1:10" s="1604" customFormat="1">
      <c r="A862" s="835"/>
      <c r="B862" s="835"/>
      <c r="C862" s="835"/>
      <c r="D862" s="835"/>
      <c r="G862" s="1625"/>
      <c r="H862" s="1619"/>
      <c r="I862" s="1620"/>
      <c r="J862" s="1620"/>
    </row>
    <row r="863" spans="1:10" s="1604" customFormat="1">
      <c r="A863" s="835"/>
      <c r="B863" s="835"/>
      <c r="C863" s="835"/>
      <c r="D863" s="835"/>
      <c r="G863" s="1625"/>
      <c r="H863" s="1619"/>
      <c r="I863" s="1620"/>
      <c r="J863" s="1620"/>
    </row>
    <row r="864" spans="1:10" s="1604" customFormat="1">
      <c r="A864" s="835"/>
      <c r="B864" s="835"/>
      <c r="C864" s="835"/>
      <c r="D864" s="835"/>
      <c r="G864" s="1625"/>
      <c r="H864" s="1619"/>
      <c r="I864" s="1620"/>
      <c r="J864" s="1620"/>
    </row>
    <row r="865" spans="1:10" s="1604" customFormat="1">
      <c r="A865" s="835"/>
      <c r="B865" s="835"/>
      <c r="C865" s="835"/>
      <c r="D865" s="835"/>
      <c r="G865" s="1625"/>
      <c r="H865" s="1619"/>
      <c r="I865" s="1620"/>
      <c r="J865" s="1620"/>
    </row>
    <row r="866" spans="1:10" s="1604" customFormat="1">
      <c r="A866" s="835"/>
      <c r="B866" s="835"/>
      <c r="C866" s="835"/>
      <c r="D866" s="835"/>
      <c r="G866" s="1625"/>
      <c r="H866" s="1619"/>
      <c r="I866" s="1620"/>
      <c r="J866" s="1620"/>
    </row>
    <row r="867" spans="1:10" s="1604" customFormat="1">
      <c r="A867" s="835"/>
      <c r="B867" s="835"/>
      <c r="C867" s="835"/>
      <c r="D867" s="835"/>
      <c r="G867" s="1625"/>
      <c r="H867" s="1619"/>
      <c r="I867" s="1620"/>
      <c r="J867" s="1620"/>
    </row>
    <row r="868" spans="1:10" s="1604" customFormat="1">
      <c r="A868" s="835"/>
      <c r="B868" s="835"/>
      <c r="C868" s="835"/>
      <c r="D868" s="835"/>
      <c r="G868" s="1625"/>
      <c r="H868" s="1619"/>
      <c r="I868" s="1620"/>
      <c r="J868" s="1620"/>
    </row>
    <row r="869" spans="1:10" s="1604" customFormat="1">
      <c r="A869" s="835"/>
      <c r="B869" s="835"/>
      <c r="C869" s="835"/>
      <c r="D869" s="835"/>
      <c r="G869" s="1625"/>
      <c r="H869" s="1619"/>
      <c r="I869" s="1620"/>
      <c r="J869" s="1620"/>
    </row>
    <row r="870" spans="1:10" s="1604" customFormat="1">
      <c r="A870" s="835"/>
      <c r="B870" s="835"/>
      <c r="C870" s="835"/>
      <c r="D870" s="835"/>
      <c r="G870" s="1625"/>
      <c r="H870" s="1619"/>
      <c r="I870" s="1620"/>
      <c r="J870" s="1620"/>
    </row>
    <row r="871" spans="1:10" s="1604" customFormat="1">
      <c r="A871" s="835"/>
      <c r="B871" s="835"/>
      <c r="C871" s="835"/>
      <c r="D871" s="835"/>
      <c r="G871" s="1625"/>
      <c r="H871" s="1619"/>
      <c r="I871" s="1620"/>
      <c r="J871" s="1620"/>
    </row>
    <row r="872" spans="1:10" s="1604" customFormat="1">
      <c r="A872" s="835"/>
      <c r="B872" s="835"/>
      <c r="C872" s="835"/>
      <c r="D872" s="835"/>
      <c r="G872" s="1625"/>
      <c r="H872" s="1619"/>
      <c r="I872" s="1620"/>
      <c r="J872" s="1620"/>
    </row>
    <row r="873" spans="1:10" s="1604" customFormat="1">
      <c r="A873" s="835"/>
      <c r="B873" s="835"/>
      <c r="C873" s="835"/>
      <c r="D873" s="835"/>
      <c r="G873" s="1625"/>
      <c r="H873" s="1619"/>
      <c r="I873" s="1620"/>
      <c r="J873" s="1620"/>
    </row>
    <row r="874" spans="1:10" s="1604" customFormat="1">
      <c r="A874" s="835"/>
      <c r="B874" s="835"/>
      <c r="C874" s="835"/>
      <c r="D874" s="835"/>
      <c r="G874" s="1625"/>
      <c r="H874" s="1619"/>
      <c r="I874" s="1620"/>
      <c r="J874" s="1620"/>
    </row>
    <row r="875" spans="1:10" s="1604" customFormat="1">
      <c r="A875" s="835"/>
      <c r="B875" s="835"/>
      <c r="C875" s="835"/>
      <c r="D875" s="835"/>
      <c r="G875" s="1625"/>
      <c r="H875" s="1619"/>
      <c r="I875" s="1620"/>
      <c r="J875" s="1620"/>
    </row>
    <row r="876" spans="1:10" s="1604" customFormat="1">
      <c r="A876" s="835"/>
      <c r="B876" s="835"/>
      <c r="C876" s="835"/>
      <c r="D876" s="835"/>
      <c r="G876" s="1625"/>
      <c r="H876" s="1619"/>
      <c r="I876" s="1620"/>
      <c r="J876" s="1620"/>
    </row>
    <row r="877" spans="1:10" s="1604" customFormat="1">
      <c r="A877" s="835"/>
      <c r="B877" s="835"/>
      <c r="C877" s="835"/>
      <c r="D877" s="835"/>
      <c r="G877" s="1625"/>
      <c r="H877" s="1619"/>
      <c r="I877" s="1620"/>
      <c r="J877" s="1620"/>
    </row>
    <row r="878" spans="1:10" s="1604" customFormat="1">
      <c r="A878" s="835"/>
      <c r="B878" s="835"/>
      <c r="C878" s="835"/>
      <c r="D878" s="835"/>
      <c r="G878" s="1625"/>
      <c r="H878" s="1619"/>
      <c r="I878" s="1620"/>
      <c r="J878" s="1620"/>
    </row>
    <row r="879" spans="1:10" s="1604" customFormat="1">
      <c r="A879" s="835"/>
      <c r="B879" s="835"/>
      <c r="C879" s="835"/>
      <c r="D879" s="835"/>
      <c r="G879" s="1625"/>
      <c r="H879" s="1619"/>
      <c r="I879" s="1620"/>
      <c r="J879" s="1620"/>
    </row>
    <row r="880" spans="1:10" s="1604" customFormat="1">
      <c r="A880" s="835"/>
      <c r="B880" s="835"/>
      <c r="C880" s="835"/>
      <c r="D880" s="835"/>
      <c r="G880" s="1625"/>
      <c r="H880" s="1619"/>
      <c r="I880" s="1620"/>
      <c r="J880" s="1620"/>
    </row>
    <row r="881" spans="1:10" s="1604" customFormat="1">
      <c r="A881" s="835"/>
      <c r="B881" s="835"/>
      <c r="C881" s="835"/>
      <c r="D881" s="835"/>
      <c r="G881" s="1625"/>
      <c r="H881" s="1619"/>
      <c r="I881" s="1620"/>
      <c r="J881" s="1620"/>
    </row>
    <row r="882" spans="1:10" s="1604" customFormat="1">
      <c r="A882" s="835"/>
      <c r="B882" s="835"/>
      <c r="C882" s="835"/>
      <c r="D882" s="835"/>
      <c r="G882" s="1625"/>
      <c r="H882" s="1619"/>
      <c r="I882" s="1620"/>
      <c r="J882" s="1620"/>
    </row>
    <row r="883" spans="1:10" s="1604" customFormat="1">
      <c r="A883" s="835"/>
      <c r="B883" s="835"/>
      <c r="C883" s="835"/>
      <c r="D883" s="835"/>
      <c r="G883" s="1625"/>
      <c r="H883" s="1619"/>
      <c r="I883" s="1620"/>
      <c r="J883" s="1620"/>
    </row>
    <row r="884" spans="1:10" s="1604" customFormat="1">
      <c r="A884" s="835"/>
      <c r="B884" s="835"/>
      <c r="C884" s="835"/>
      <c r="D884" s="835"/>
      <c r="G884" s="1625"/>
      <c r="H884" s="1619"/>
      <c r="I884" s="1620"/>
      <c r="J884" s="1620"/>
    </row>
    <row r="885" spans="1:10" s="1604" customFormat="1">
      <c r="A885" s="835"/>
      <c r="B885" s="835"/>
      <c r="C885" s="835"/>
      <c r="D885" s="835"/>
      <c r="G885" s="1625"/>
      <c r="H885" s="1619"/>
      <c r="I885" s="1620"/>
      <c r="J885" s="1620"/>
    </row>
    <row r="886" spans="1:10" s="1604" customFormat="1">
      <c r="A886" s="835"/>
      <c r="B886" s="835"/>
      <c r="C886" s="835"/>
      <c r="D886" s="835"/>
      <c r="G886" s="1625"/>
      <c r="H886" s="1619"/>
      <c r="I886" s="1620"/>
      <c r="J886" s="1620"/>
    </row>
    <row r="887" spans="1:10" s="1604" customFormat="1">
      <c r="A887" s="835"/>
      <c r="B887" s="835"/>
      <c r="C887" s="835"/>
      <c r="D887" s="835"/>
      <c r="G887" s="1625"/>
      <c r="H887" s="1619"/>
      <c r="I887" s="1620"/>
      <c r="J887" s="1620"/>
    </row>
    <row r="888" spans="1:10" s="1604" customFormat="1">
      <c r="A888" s="835"/>
      <c r="B888" s="835"/>
      <c r="C888" s="835"/>
      <c r="D888" s="835"/>
      <c r="G888" s="1625"/>
      <c r="H888" s="1619"/>
      <c r="I888" s="1620"/>
      <c r="J888" s="1620"/>
    </row>
    <row r="889" spans="1:10" s="1604" customFormat="1">
      <c r="A889" s="835"/>
      <c r="B889" s="835"/>
      <c r="C889" s="835"/>
      <c r="D889" s="835"/>
      <c r="G889" s="1625"/>
      <c r="H889" s="1619"/>
      <c r="I889" s="1620"/>
      <c r="J889" s="1620"/>
    </row>
    <row r="890" spans="1:10" s="1604" customFormat="1">
      <c r="A890" s="835"/>
      <c r="B890" s="835"/>
      <c r="C890" s="835"/>
      <c r="D890" s="835"/>
      <c r="G890" s="1625"/>
      <c r="H890" s="1619"/>
      <c r="I890" s="1620"/>
      <c r="J890" s="1620"/>
    </row>
    <row r="891" spans="1:10" s="1604" customFormat="1">
      <c r="A891" s="835"/>
      <c r="B891" s="835"/>
      <c r="C891" s="835"/>
      <c r="D891" s="835"/>
      <c r="G891" s="1625"/>
      <c r="H891" s="1619"/>
      <c r="I891" s="1620"/>
      <c r="J891" s="1620"/>
    </row>
    <row r="892" spans="1:10" s="1604" customFormat="1">
      <c r="A892" s="835"/>
      <c r="B892" s="835"/>
      <c r="C892" s="835"/>
      <c r="D892" s="835"/>
      <c r="G892" s="1625"/>
      <c r="H892" s="1619"/>
      <c r="I892" s="1620"/>
      <c r="J892" s="1620"/>
    </row>
    <row r="893" spans="1:10" s="1604" customFormat="1">
      <c r="A893" s="835"/>
      <c r="B893" s="835"/>
      <c r="C893" s="835"/>
      <c r="D893" s="835"/>
      <c r="G893" s="1625"/>
      <c r="H893" s="1619"/>
      <c r="I893" s="1620"/>
      <c r="J893" s="1620"/>
    </row>
    <row r="894" spans="1:10" s="1604" customFormat="1">
      <c r="A894" s="835"/>
      <c r="B894" s="835"/>
      <c r="C894" s="835"/>
      <c r="D894" s="835"/>
      <c r="G894" s="1625"/>
      <c r="H894" s="1619"/>
      <c r="I894" s="1620"/>
      <c r="J894" s="1620"/>
    </row>
    <row r="895" spans="1:10" s="1604" customFormat="1">
      <c r="A895" s="835"/>
      <c r="B895" s="835"/>
      <c r="C895" s="835"/>
      <c r="D895" s="835"/>
      <c r="G895" s="1625"/>
      <c r="H895" s="1619"/>
      <c r="I895" s="1620"/>
      <c r="J895" s="1620"/>
    </row>
    <row r="896" spans="1:10" s="1604" customFormat="1">
      <c r="A896" s="835"/>
      <c r="B896" s="835"/>
      <c r="C896" s="835"/>
      <c r="D896" s="835"/>
      <c r="G896" s="1625"/>
      <c r="H896" s="1619"/>
      <c r="I896" s="1620"/>
      <c r="J896" s="1620"/>
    </row>
    <row r="897" spans="1:10" s="1604" customFormat="1">
      <c r="A897" s="835"/>
      <c r="B897" s="835"/>
      <c r="C897" s="835"/>
      <c r="D897" s="835"/>
      <c r="G897" s="1625"/>
      <c r="H897" s="1619"/>
      <c r="I897" s="1620"/>
      <c r="J897" s="1620"/>
    </row>
    <row r="898" spans="1:10" s="1604" customFormat="1">
      <c r="A898" s="835"/>
      <c r="B898" s="835"/>
      <c r="C898" s="835"/>
      <c r="D898" s="835"/>
      <c r="G898" s="1625"/>
      <c r="H898" s="1619"/>
      <c r="I898" s="1620"/>
      <c r="J898" s="1620"/>
    </row>
    <row r="899" spans="1:10" s="1604" customFormat="1">
      <c r="A899" s="835"/>
      <c r="B899" s="835"/>
      <c r="C899" s="835"/>
      <c r="D899" s="835"/>
      <c r="G899" s="1625"/>
      <c r="H899" s="1619"/>
      <c r="I899" s="1620"/>
      <c r="J899" s="1620"/>
    </row>
    <row r="900" spans="1:10" s="1604" customFormat="1">
      <c r="A900" s="835"/>
      <c r="B900" s="835"/>
      <c r="C900" s="835"/>
      <c r="D900" s="835"/>
      <c r="G900" s="1625"/>
      <c r="H900" s="1619"/>
      <c r="I900" s="1620"/>
      <c r="J900" s="1620"/>
    </row>
    <row r="901" spans="1:10" s="1604" customFormat="1">
      <c r="A901" s="835"/>
      <c r="B901" s="835"/>
      <c r="C901" s="835"/>
      <c r="D901" s="835"/>
      <c r="G901" s="1625"/>
      <c r="H901" s="1619"/>
      <c r="I901" s="1620"/>
      <c r="J901" s="1620"/>
    </row>
    <row r="902" spans="1:10" s="1604" customFormat="1">
      <c r="A902" s="835"/>
      <c r="B902" s="835"/>
      <c r="C902" s="835"/>
      <c r="D902" s="835"/>
      <c r="G902" s="1625"/>
      <c r="H902" s="1619"/>
      <c r="I902" s="1620"/>
      <c r="J902" s="1620"/>
    </row>
    <row r="903" spans="1:10" s="1604" customFormat="1">
      <c r="A903" s="835"/>
      <c r="B903" s="835"/>
      <c r="C903" s="835"/>
      <c r="D903" s="835"/>
      <c r="G903" s="1625"/>
      <c r="H903" s="1619"/>
      <c r="I903" s="1620"/>
      <c r="J903" s="1620"/>
    </row>
    <row r="904" spans="1:10" s="1604" customFormat="1">
      <c r="A904" s="835"/>
      <c r="B904" s="835"/>
      <c r="C904" s="835"/>
      <c r="D904" s="835"/>
      <c r="G904" s="1625"/>
      <c r="H904" s="1619"/>
      <c r="I904" s="1620"/>
      <c r="J904" s="1620"/>
    </row>
    <row r="905" spans="1:10" s="1604" customFormat="1">
      <c r="A905" s="835"/>
      <c r="B905" s="835"/>
      <c r="C905" s="835"/>
      <c r="D905" s="835"/>
      <c r="G905" s="1625"/>
      <c r="H905" s="1619"/>
      <c r="I905" s="1620"/>
      <c r="J905" s="1620"/>
    </row>
    <row r="906" spans="1:10" s="1604" customFormat="1">
      <c r="A906" s="835"/>
      <c r="B906" s="835"/>
      <c r="C906" s="835"/>
      <c r="D906" s="835"/>
      <c r="G906" s="1625"/>
      <c r="H906" s="1619"/>
      <c r="I906" s="1620"/>
      <c r="J906" s="1620"/>
    </row>
    <row r="907" spans="1:10" s="1604" customFormat="1">
      <c r="A907" s="835"/>
      <c r="B907" s="835"/>
      <c r="C907" s="835"/>
      <c r="D907" s="835"/>
      <c r="G907" s="1625"/>
      <c r="H907" s="1619"/>
      <c r="I907" s="1620"/>
      <c r="J907" s="1620"/>
    </row>
    <row r="908" spans="1:10" s="1604" customFormat="1">
      <c r="A908" s="835"/>
      <c r="B908" s="835"/>
      <c r="C908" s="835"/>
      <c r="D908" s="835"/>
      <c r="G908" s="1625"/>
      <c r="H908" s="1619"/>
      <c r="I908" s="1620"/>
      <c r="J908" s="1620"/>
    </row>
    <row r="909" spans="1:10" s="1604" customFormat="1">
      <c r="A909" s="835"/>
      <c r="B909" s="835"/>
      <c r="C909" s="835"/>
      <c r="D909" s="835"/>
      <c r="G909" s="1625"/>
      <c r="H909" s="1619"/>
      <c r="I909" s="1620"/>
      <c r="J909" s="1620"/>
    </row>
    <row r="910" spans="1:10" s="1604" customFormat="1">
      <c r="A910" s="835"/>
      <c r="B910" s="835"/>
      <c r="C910" s="835"/>
      <c r="D910" s="835"/>
      <c r="G910" s="1625"/>
      <c r="H910" s="1619"/>
      <c r="I910" s="1620"/>
      <c r="J910" s="1620"/>
    </row>
    <row r="911" spans="1:10" s="1604" customFormat="1">
      <c r="A911" s="835"/>
      <c r="B911" s="835"/>
      <c r="C911" s="835"/>
      <c r="D911" s="835"/>
      <c r="G911" s="1625"/>
      <c r="H911" s="1619"/>
      <c r="I911" s="1620"/>
      <c r="J911" s="1620"/>
    </row>
    <row r="912" spans="1:10" s="1604" customFormat="1">
      <c r="A912" s="835"/>
      <c r="B912" s="835"/>
      <c r="C912" s="835"/>
      <c r="D912" s="835"/>
      <c r="G912" s="1625"/>
      <c r="H912" s="1619"/>
      <c r="I912" s="1620"/>
      <c r="J912" s="1620"/>
    </row>
    <row r="913" spans="1:10" s="1604" customFormat="1">
      <c r="A913" s="835"/>
      <c r="B913" s="835"/>
      <c r="C913" s="835"/>
      <c r="D913" s="835"/>
      <c r="G913" s="1625"/>
      <c r="H913" s="1619"/>
      <c r="I913" s="1620"/>
      <c r="J913" s="1620"/>
    </row>
    <row r="914" spans="1:10" s="1604" customFormat="1">
      <c r="A914" s="835"/>
      <c r="B914" s="835"/>
      <c r="C914" s="835"/>
      <c r="D914" s="835"/>
      <c r="G914" s="1625"/>
      <c r="H914" s="1619"/>
      <c r="I914" s="1620"/>
      <c r="J914" s="1620"/>
    </row>
    <row r="915" spans="1:10" s="1604" customFormat="1">
      <c r="A915" s="835"/>
      <c r="B915" s="835"/>
      <c r="C915" s="835"/>
      <c r="D915" s="835"/>
      <c r="G915" s="1625"/>
      <c r="H915" s="1619"/>
      <c r="I915" s="1620"/>
      <c r="J915" s="1620"/>
    </row>
    <row r="916" spans="1:10" s="1604" customFormat="1">
      <c r="A916" s="835"/>
      <c r="B916" s="835"/>
      <c r="C916" s="835"/>
      <c r="D916" s="835"/>
      <c r="G916" s="1625"/>
      <c r="H916" s="1619"/>
      <c r="I916" s="1620"/>
      <c r="J916" s="1620"/>
    </row>
    <row r="917" spans="1:10" s="1604" customFormat="1">
      <c r="A917" s="835"/>
      <c r="B917" s="835"/>
      <c r="C917" s="835"/>
      <c r="D917" s="835"/>
      <c r="G917" s="1625"/>
      <c r="H917" s="1619"/>
      <c r="I917" s="1620"/>
      <c r="J917" s="1620"/>
    </row>
    <row r="918" spans="1:10" s="1604" customFormat="1">
      <c r="A918" s="835"/>
      <c r="B918" s="835"/>
      <c r="C918" s="835"/>
      <c r="D918" s="835"/>
      <c r="G918" s="1625"/>
      <c r="H918" s="1619"/>
      <c r="I918" s="1620"/>
      <c r="J918" s="1620"/>
    </row>
    <row r="919" spans="1:10" s="1604" customFormat="1">
      <c r="A919" s="835"/>
      <c r="B919" s="835"/>
      <c r="C919" s="835"/>
      <c r="D919" s="835"/>
      <c r="G919" s="1625"/>
      <c r="H919" s="1619"/>
      <c r="I919" s="1620"/>
      <c r="J919" s="1620"/>
    </row>
    <row r="920" spans="1:10" s="1604" customFormat="1">
      <c r="A920" s="835"/>
      <c r="B920" s="835"/>
      <c r="C920" s="835"/>
      <c r="D920" s="835"/>
      <c r="G920" s="1625"/>
      <c r="H920" s="1619"/>
      <c r="I920" s="1620"/>
      <c r="J920" s="1620"/>
    </row>
    <row r="921" spans="1:10" s="1604" customFormat="1">
      <c r="A921" s="835"/>
      <c r="B921" s="835"/>
      <c r="C921" s="835"/>
      <c r="D921" s="835"/>
      <c r="G921" s="1625"/>
      <c r="H921" s="1619"/>
      <c r="I921" s="1620"/>
      <c r="J921" s="1620"/>
    </row>
    <row r="922" spans="1:10" s="1604" customFormat="1">
      <c r="A922" s="835"/>
      <c r="B922" s="835"/>
      <c r="C922" s="835"/>
      <c r="D922" s="835"/>
      <c r="G922" s="1625"/>
      <c r="H922" s="1619"/>
      <c r="I922" s="1620"/>
      <c r="J922" s="1620"/>
    </row>
    <row r="923" spans="1:10" s="1604" customFormat="1">
      <c r="A923" s="835"/>
      <c r="B923" s="835"/>
      <c r="C923" s="835"/>
      <c r="D923" s="835"/>
      <c r="G923" s="1625"/>
      <c r="H923" s="1619"/>
      <c r="I923" s="1620"/>
      <c r="J923" s="1620"/>
    </row>
    <row r="924" spans="1:10" s="1604" customFormat="1">
      <c r="A924" s="835"/>
      <c r="B924" s="835"/>
      <c r="C924" s="835"/>
      <c r="D924" s="835"/>
      <c r="G924" s="1625"/>
      <c r="H924" s="1619"/>
      <c r="I924" s="1620"/>
      <c r="J924" s="1620"/>
    </row>
    <row r="925" spans="1:10" s="1604" customFormat="1">
      <c r="A925" s="835"/>
      <c r="B925" s="835"/>
      <c r="C925" s="835"/>
      <c r="D925" s="835"/>
      <c r="G925" s="1625"/>
      <c r="H925" s="1619"/>
      <c r="I925" s="1620"/>
      <c r="J925" s="1620"/>
    </row>
    <row r="926" spans="1:10" s="1604" customFormat="1">
      <c r="A926" s="835"/>
      <c r="B926" s="835"/>
      <c r="C926" s="835"/>
      <c r="D926" s="835"/>
      <c r="G926" s="1625"/>
      <c r="H926" s="1619"/>
      <c r="I926" s="1620"/>
      <c r="J926" s="1620"/>
    </row>
    <row r="927" spans="1:10" s="1604" customFormat="1">
      <c r="A927" s="835"/>
      <c r="B927" s="835"/>
      <c r="C927" s="835"/>
      <c r="D927" s="835"/>
      <c r="G927" s="1625"/>
      <c r="H927" s="1619"/>
      <c r="I927" s="1620"/>
      <c r="J927" s="1620"/>
    </row>
    <row r="928" spans="1:10" s="1604" customFormat="1">
      <c r="A928" s="835"/>
      <c r="B928" s="835"/>
      <c r="C928" s="835"/>
      <c r="D928" s="835"/>
      <c r="G928" s="1625"/>
      <c r="H928" s="1619"/>
      <c r="I928" s="1620"/>
      <c r="J928" s="1620"/>
    </row>
    <row r="929" spans="1:10" s="1604" customFormat="1">
      <c r="A929" s="835"/>
      <c r="B929" s="835"/>
      <c r="C929" s="835"/>
      <c r="D929" s="835"/>
      <c r="G929" s="1625"/>
      <c r="H929" s="1619"/>
      <c r="I929" s="1620"/>
      <c r="J929" s="1620"/>
    </row>
    <row r="930" spans="1:10" s="1604" customFormat="1">
      <c r="A930" s="835"/>
      <c r="B930" s="835"/>
      <c r="C930" s="835"/>
      <c r="D930" s="835"/>
      <c r="G930" s="1625"/>
      <c r="H930" s="1619"/>
      <c r="I930" s="1620"/>
      <c r="J930" s="1620"/>
    </row>
    <row r="931" spans="1:10" s="1604" customFormat="1">
      <c r="A931" s="835"/>
      <c r="B931" s="835"/>
      <c r="C931" s="835"/>
      <c r="D931" s="835"/>
      <c r="G931" s="1625"/>
      <c r="H931" s="1619"/>
      <c r="I931" s="1620"/>
      <c r="J931" s="1620"/>
    </row>
    <row r="932" spans="1:10" s="1604" customFormat="1">
      <c r="A932" s="835"/>
      <c r="B932" s="835"/>
      <c r="C932" s="835"/>
      <c r="D932" s="835"/>
      <c r="G932" s="1625"/>
      <c r="H932" s="1619"/>
      <c r="I932" s="1620"/>
      <c r="J932" s="1620"/>
    </row>
    <row r="933" spans="1:10" s="1604" customFormat="1">
      <c r="A933" s="835"/>
      <c r="B933" s="835"/>
      <c r="C933" s="835"/>
      <c r="D933" s="835"/>
      <c r="G933" s="1625"/>
      <c r="H933" s="1619"/>
      <c r="I933" s="1620"/>
      <c r="J933" s="1620"/>
    </row>
    <row r="934" spans="1:10" s="1604" customFormat="1">
      <c r="A934" s="835"/>
      <c r="B934" s="835"/>
      <c r="C934" s="835"/>
      <c r="D934" s="835"/>
      <c r="G934" s="1625"/>
      <c r="H934" s="1619"/>
      <c r="I934" s="1620"/>
      <c r="J934" s="1620"/>
    </row>
    <row r="935" spans="1:10" s="1604" customFormat="1">
      <c r="A935" s="835"/>
      <c r="B935" s="835"/>
      <c r="C935" s="835"/>
      <c r="D935" s="835"/>
      <c r="G935" s="1625"/>
      <c r="H935" s="1619"/>
      <c r="I935" s="1620"/>
      <c r="J935" s="1620"/>
    </row>
    <row r="936" spans="1:10" s="1604" customFormat="1">
      <c r="A936" s="835"/>
      <c r="B936" s="835"/>
      <c r="C936" s="835"/>
      <c r="D936" s="835"/>
      <c r="G936" s="1625"/>
      <c r="H936" s="1619"/>
      <c r="I936" s="1620"/>
      <c r="J936" s="1620"/>
    </row>
    <row r="937" spans="1:10" s="1604" customFormat="1">
      <c r="A937" s="835"/>
      <c r="B937" s="835"/>
      <c r="C937" s="835"/>
      <c r="D937" s="835"/>
      <c r="G937" s="1625"/>
      <c r="H937" s="1619"/>
      <c r="I937" s="1620"/>
      <c r="J937" s="1620"/>
    </row>
    <row r="938" spans="1:10" s="1604" customFormat="1">
      <c r="A938" s="835"/>
      <c r="B938" s="835"/>
      <c r="C938" s="835"/>
      <c r="D938" s="835"/>
      <c r="G938" s="1625"/>
      <c r="H938" s="1619"/>
      <c r="I938" s="1620"/>
      <c r="J938" s="1620"/>
    </row>
    <row r="939" spans="1:10" s="1604" customFormat="1">
      <c r="A939" s="835"/>
      <c r="B939" s="835"/>
      <c r="C939" s="835"/>
      <c r="D939" s="835"/>
      <c r="G939" s="1625"/>
      <c r="H939" s="1619"/>
      <c r="I939" s="1620"/>
      <c r="J939" s="1620"/>
    </row>
    <row r="940" spans="1:10" s="1604" customFormat="1">
      <c r="A940" s="835"/>
      <c r="B940" s="835"/>
      <c r="C940" s="835"/>
      <c r="D940" s="835"/>
      <c r="G940" s="1625"/>
      <c r="H940" s="1619"/>
      <c r="I940" s="1620"/>
      <c r="J940" s="1620"/>
    </row>
    <row r="941" spans="1:10" s="1604" customFormat="1">
      <c r="A941" s="835"/>
      <c r="B941" s="835"/>
      <c r="C941" s="835"/>
      <c r="D941" s="835"/>
      <c r="G941" s="1625"/>
      <c r="H941" s="1619"/>
      <c r="I941" s="1620"/>
      <c r="J941" s="1620"/>
    </row>
    <row r="942" spans="1:10" s="1604" customFormat="1">
      <c r="A942" s="835"/>
      <c r="B942" s="835"/>
      <c r="C942" s="835"/>
      <c r="D942" s="835"/>
      <c r="G942" s="1625"/>
      <c r="H942" s="1619"/>
      <c r="I942" s="1620"/>
      <c r="J942" s="1620"/>
    </row>
    <row r="943" spans="1:10" s="1604" customFormat="1">
      <c r="A943" s="835"/>
      <c r="B943" s="835"/>
      <c r="C943" s="835"/>
      <c r="D943" s="835"/>
      <c r="G943" s="1625"/>
      <c r="H943" s="1619"/>
      <c r="I943" s="1620"/>
      <c r="J943" s="1620"/>
    </row>
    <row r="944" spans="1:10" s="1604" customFormat="1">
      <c r="A944" s="835"/>
      <c r="B944" s="835"/>
      <c r="C944" s="835"/>
      <c r="D944" s="835"/>
      <c r="G944" s="1625"/>
      <c r="H944" s="1619"/>
      <c r="I944" s="1620"/>
      <c r="J944" s="1620"/>
    </row>
    <row r="945" spans="1:10" s="1604" customFormat="1">
      <c r="A945" s="835"/>
      <c r="B945" s="835"/>
      <c r="C945" s="835"/>
      <c r="D945" s="835"/>
      <c r="G945" s="1625"/>
      <c r="H945" s="1619"/>
      <c r="I945" s="1620"/>
      <c r="J945" s="1620"/>
    </row>
    <row r="946" spans="1:10" s="1604" customFormat="1">
      <c r="A946" s="835"/>
      <c r="B946" s="835"/>
      <c r="C946" s="835"/>
      <c r="D946" s="835"/>
      <c r="G946" s="1625"/>
      <c r="H946" s="1619"/>
      <c r="I946" s="1620"/>
      <c r="J946" s="1620"/>
    </row>
    <row r="947" spans="1:10" s="1604" customFormat="1">
      <c r="A947" s="835"/>
      <c r="B947" s="835"/>
      <c r="C947" s="835"/>
      <c r="D947" s="835"/>
      <c r="G947" s="1625"/>
      <c r="H947" s="1619"/>
      <c r="I947" s="1620"/>
      <c r="J947" s="1620"/>
    </row>
    <row r="948" spans="1:10" s="1604" customFormat="1">
      <c r="A948" s="835"/>
      <c r="B948" s="835"/>
      <c r="C948" s="835"/>
      <c r="D948" s="835"/>
      <c r="G948" s="1625"/>
      <c r="H948" s="1619"/>
      <c r="I948" s="1620"/>
      <c r="J948" s="1620"/>
    </row>
    <row r="949" spans="1:10" s="1604" customFormat="1">
      <c r="A949" s="835"/>
      <c r="B949" s="835"/>
      <c r="C949" s="835"/>
      <c r="D949" s="835"/>
      <c r="G949" s="1625"/>
      <c r="H949" s="1619"/>
      <c r="I949" s="1620"/>
      <c r="J949" s="1620"/>
    </row>
    <row r="950" spans="1:10" s="1604" customFormat="1">
      <c r="A950" s="835"/>
      <c r="B950" s="835"/>
      <c r="C950" s="835"/>
      <c r="D950" s="835"/>
      <c r="G950" s="1625"/>
      <c r="H950" s="1619"/>
      <c r="I950" s="1620"/>
      <c r="J950" s="1620"/>
    </row>
    <row r="951" spans="1:10" s="1604" customFormat="1">
      <c r="A951" s="835"/>
      <c r="B951" s="835"/>
      <c r="C951" s="835"/>
      <c r="D951" s="835"/>
      <c r="G951" s="1625"/>
      <c r="H951" s="1619"/>
      <c r="I951" s="1620"/>
      <c r="J951" s="1620"/>
    </row>
    <row r="952" spans="1:10" s="1604" customFormat="1">
      <c r="A952" s="835"/>
      <c r="B952" s="835"/>
      <c r="C952" s="835"/>
      <c r="D952" s="835"/>
      <c r="G952" s="1625"/>
      <c r="H952" s="1619"/>
      <c r="I952" s="1620"/>
      <c r="J952" s="1620"/>
    </row>
    <row r="953" spans="1:10" s="1604" customFormat="1">
      <c r="A953" s="835"/>
      <c r="B953" s="835"/>
      <c r="C953" s="835"/>
      <c r="D953" s="835"/>
      <c r="G953" s="1625"/>
      <c r="H953" s="1619"/>
      <c r="I953" s="1620"/>
      <c r="J953" s="1620"/>
    </row>
    <row r="954" spans="1:10" s="1604" customFormat="1">
      <c r="A954" s="835"/>
      <c r="B954" s="835"/>
      <c r="C954" s="835"/>
      <c r="D954" s="835"/>
      <c r="G954" s="1625"/>
      <c r="H954" s="1619"/>
      <c r="I954" s="1620"/>
      <c r="J954" s="1620"/>
    </row>
    <row r="955" spans="1:10" s="1604" customFormat="1">
      <c r="A955" s="835"/>
      <c r="B955" s="835"/>
      <c r="C955" s="835"/>
      <c r="D955" s="835"/>
      <c r="G955" s="1625"/>
      <c r="H955" s="1619"/>
      <c r="I955" s="1620"/>
      <c r="J955" s="1620"/>
    </row>
    <row r="956" spans="1:10" s="1604" customFormat="1">
      <c r="A956" s="835"/>
      <c r="B956" s="835"/>
      <c r="C956" s="835"/>
      <c r="D956" s="835"/>
      <c r="G956" s="1625"/>
      <c r="H956" s="1619"/>
      <c r="I956" s="1620"/>
      <c r="J956" s="1620"/>
    </row>
    <row r="957" spans="1:10" s="1604" customFormat="1">
      <c r="A957" s="835"/>
      <c r="B957" s="835"/>
      <c r="C957" s="835"/>
      <c r="D957" s="835"/>
      <c r="G957" s="1625"/>
      <c r="H957" s="1619"/>
      <c r="I957" s="1620"/>
      <c r="J957" s="1620"/>
    </row>
    <row r="958" spans="1:10" s="1604" customFormat="1">
      <c r="A958" s="835"/>
      <c r="B958" s="835"/>
      <c r="C958" s="835"/>
      <c r="D958" s="835"/>
      <c r="G958" s="1625"/>
      <c r="H958" s="1619"/>
      <c r="I958" s="1620"/>
      <c r="J958" s="1620"/>
    </row>
    <row r="959" spans="1:10" s="1604" customFormat="1">
      <c r="A959" s="835"/>
      <c r="B959" s="835"/>
      <c r="C959" s="835"/>
      <c r="D959" s="835"/>
      <c r="G959" s="1625"/>
      <c r="H959" s="1619"/>
      <c r="I959" s="1620"/>
      <c r="J959" s="1620"/>
    </row>
    <row r="960" spans="1:10" s="1604" customFormat="1">
      <c r="A960" s="835"/>
      <c r="B960" s="835"/>
      <c r="C960" s="835"/>
      <c r="D960" s="835"/>
      <c r="G960" s="1625"/>
      <c r="H960" s="1619"/>
      <c r="I960" s="1620"/>
      <c r="J960" s="1620"/>
    </row>
    <row r="961" spans="1:10" s="1604" customFormat="1">
      <c r="A961" s="835"/>
      <c r="B961" s="835"/>
      <c r="C961" s="835"/>
      <c r="D961" s="835"/>
      <c r="G961" s="1625"/>
      <c r="H961" s="1619"/>
      <c r="I961" s="1620"/>
      <c r="J961" s="1620"/>
    </row>
    <row r="962" spans="1:10" s="1604" customFormat="1">
      <c r="A962" s="835"/>
      <c r="B962" s="835"/>
      <c r="C962" s="835"/>
      <c r="D962" s="835"/>
      <c r="G962" s="1625"/>
      <c r="H962" s="1619"/>
      <c r="I962" s="1620"/>
      <c r="J962" s="1620"/>
    </row>
    <row r="963" spans="1:10" s="1604" customFormat="1">
      <c r="A963" s="835"/>
      <c r="B963" s="835"/>
      <c r="C963" s="835"/>
      <c r="D963" s="835"/>
      <c r="G963" s="1625"/>
      <c r="H963" s="1619"/>
      <c r="I963" s="1620"/>
      <c r="J963" s="1620"/>
    </row>
    <row r="964" spans="1:10" s="1604" customFormat="1">
      <c r="A964" s="835"/>
      <c r="B964" s="835"/>
      <c r="C964" s="835"/>
      <c r="D964" s="835"/>
      <c r="G964" s="1625"/>
      <c r="H964" s="1619"/>
      <c r="I964" s="1620"/>
      <c r="J964" s="1620"/>
    </row>
    <row r="965" spans="1:10" s="1604" customFormat="1">
      <c r="A965" s="835"/>
      <c r="B965" s="835"/>
      <c r="C965" s="835"/>
      <c r="D965" s="835"/>
      <c r="G965" s="1625"/>
      <c r="H965" s="1619"/>
      <c r="I965" s="1620"/>
      <c r="J965" s="1620"/>
    </row>
    <row r="966" spans="1:10" s="1604" customFormat="1">
      <c r="A966" s="835"/>
      <c r="B966" s="835"/>
      <c r="C966" s="835"/>
      <c r="D966" s="835"/>
      <c r="G966" s="1625"/>
      <c r="H966" s="1619"/>
      <c r="I966" s="1620"/>
      <c r="J966" s="1620"/>
    </row>
    <row r="967" spans="1:10" s="1604" customFormat="1">
      <c r="A967" s="835"/>
      <c r="B967" s="835"/>
      <c r="C967" s="835"/>
      <c r="D967" s="835"/>
      <c r="G967" s="1625"/>
      <c r="H967" s="1619"/>
      <c r="I967" s="1620"/>
      <c r="J967" s="1620"/>
    </row>
    <row r="968" spans="1:10" s="1604" customFormat="1">
      <c r="A968" s="835"/>
      <c r="B968" s="835"/>
      <c r="C968" s="835"/>
      <c r="D968" s="835"/>
      <c r="G968" s="1625"/>
      <c r="H968" s="1619"/>
      <c r="I968" s="1620"/>
      <c r="J968" s="1620"/>
    </row>
    <row r="969" spans="1:10" s="1604" customFormat="1">
      <c r="A969" s="835"/>
      <c r="B969" s="835"/>
      <c r="C969" s="835"/>
      <c r="D969" s="835"/>
      <c r="G969" s="1625"/>
      <c r="H969" s="1619"/>
      <c r="I969" s="1620"/>
      <c r="J969" s="1620"/>
    </row>
    <row r="970" spans="1:10" s="1604" customFormat="1">
      <c r="A970" s="835"/>
      <c r="B970" s="835"/>
      <c r="C970" s="835"/>
      <c r="D970" s="835"/>
      <c r="G970" s="1625"/>
      <c r="H970" s="1619"/>
      <c r="I970" s="1620"/>
      <c r="J970" s="1620"/>
    </row>
    <row r="971" spans="1:10" s="1604" customFormat="1">
      <c r="A971" s="835"/>
      <c r="B971" s="835"/>
      <c r="C971" s="835"/>
      <c r="D971" s="835"/>
      <c r="G971" s="1625"/>
      <c r="H971" s="1619"/>
      <c r="I971" s="1620"/>
      <c r="J971" s="1620"/>
    </row>
    <row r="972" spans="1:10" s="1604" customFormat="1">
      <c r="A972" s="835"/>
      <c r="B972" s="835"/>
      <c r="C972" s="835"/>
      <c r="D972" s="835"/>
      <c r="G972" s="1625"/>
      <c r="H972" s="1619"/>
      <c r="I972" s="1620"/>
      <c r="J972" s="1620"/>
    </row>
    <row r="973" spans="1:10" s="1604" customFormat="1">
      <c r="A973" s="835"/>
      <c r="B973" s="835"/>
      <c r="C973" s="835"/>
      <c r="D973" s="835"/>
      <c r="G973" s="1625"/>
      <c r="H973" s="1619"/>
      <c r="I973" s="1620"/>
      <c r="J973" s="1620"/>
    </row>
    <row r="974" spans="1:10" s="1604" customFormat="1">
      <c r="A974" s="835"/>
      <c r="B974" s="835"/>
      <c r="C974" s="835"/>
      <c r="D974" s="835"/>
      <c r="G974" s="1625"/>
      <c r="H974" s="1619"/>
      <c r="I974" s="1620"/>
      <c r="J974" s="1620"/>
    </row>
    <row r="975" spans="1:10" s="1604" customFormat="1">
      <c r="A975" s="835"/>
      <c r="B975" s="835"/>
      <c r="C975" s="835"/>
      <c r="D975" s="835"/>
      <c r="G975" s="1625"/>
      <c r="H975" s="1619"/>
      <c r="I975" s="1620"/>
      <c r="J975" s="1620"/>
    </row>
    <row r="976" spans="1:10" s="1604" customFormat="1">
      <c r="A976" s="835"/>
      <c r="B976" s="835"/>
      <c r="C976" s="835"/>
      <c r="D976" s="835"/>
      <c r="G976" s="1625"/>
      <c r="H976" s="1619"/>
      <c r="I976" s="1620"/>
      <c r="J976" s="1620"/>
    </row>
    <row r="977" spans="1:10" s="1604" customFormat="1">
      <c r="A977" s="835"/>
      <c r="B977" s="835"/>
      <c r="C977" s="835"/>
      <c r="D977" s="835"/>
      <c r="G977" s="1625"/>
      <c r="H977" s="1619"/>
      <c r="I977" s="1620"/>
      <c r="J977" s="1620"/>
    </row>
    <row r="978" spans="1:10" s="1604" customFormat="1">
      <c r="A978" s="835"/>
      <c r="B978" s="835"/>
      <c r="C978" s="835"/>
      <c r="D978" s="835"/>
      <c r="G978" s="1625"/>
      <c r="H978" s="1619"/>
      <c r="I978" s="1620"/>
      <c r="J978" s="1620"/>
    </row>
    <row r="979" spans="1:10" s="1604" customFormat="1">
      <c r="A979" s="835"/>
      <c r="B979" s="835"/>
      <c r="C979" s="835"/>
      <c r="D979" s="835"/>
      <c r="G979" s="1625"/>
      <c r="H979" s="1619"/>
      <c r="I979" s="1620"/>
      <c r="J979" s="1620"/>
    </row>
    <row r="980" spans="1:10" s="1604" customFormat="1">
      <c r="A980" s="835"/>
      <c r="B980" s="835"/>
      <c r="C980" s="835"/>
      <c r="D980" s="835"/>
      <c r="G980" s="1625"/>
      <c r="H980" s="1619"/>
      <c r="I980" s="1620"/>
      <c r="J980" s="1620"/>
    </row>
    <row r="981" spans="1:10" s="1604" customFormat="1">
      <c r="A981" s="835"/>
      <c r="B981" s="835"/>
      <c r="C981" s="835"/>
      <c r="D981" s="835"/>
      <c r="G981" s="1625"/>
      <c r="H981" s="1619"/>
      <c r="I981" s="1620"/>
      <c r="J981" s="1620"/>
    </row>
    <row r="982" spans="1:10" s="1604" customFormat="1">
      <c r="A982" s="835"/>
      <c r="B982" s="835"/>
      <c r="C982" s="835"/>
      <c r="D982" s="835"/>
      <c r="G982" s="1625"/>
      <c r="H982" s="1619"/>
      <c r="I982" s="1620"/>
      <c r="J982" s="1620"/>
    </row>
    <row r="983" spans="1:10" s="1604" customFormat="1">
      <c r="A983" s="835"/>
      <c r="B983" s="835"/>
      <c r="C983" s="835"/>
      <c r="D983" s="835"/>
      <c r="G983" s="1625"/>
      <c r="H983" s="1619"/>
      <c r="I983" s="1620"/>
      <c r="J983" s="1620"/>
    </row>
    <row r="984" spans="1:10" s="1604" customFormat="1">
      <c r="A984" s="835"/>
      <c r="B984" s="835"/>
      <c r="C984" s="835"/>
      <c r="D984" s="835"/>
      <c r="G984" s="1625"/>
      <c r="H984" s="1619"/>
      <c r="I984" s="1620"/>
      <c r="J984" s="1620"/>
    </row>
    <row r="985" spans="1:10" s="1604" customFormat="1">
      <c r="A985" s="835"/>
      <c r="B985" s="835"/>
      <c r="C985" s="835"/>
      <c r="D985" s="835"/>
      <c r="G985" s="1625"/>
      <c r="H985" s="1619"/>
      <c r="I985" s="1620"/>
      <c r="J985" s="1620"/>
    </row>
    <row r="986" spans="1:10" s="1604" customFormat="1">
      <c r="A986" s="835"/>
      <c r="B986" s="835"/>
      <c r="C986" s="835"/>
      <c r="D986" s="835"/>
      <c r="G986" s="1625"/>
      <c r="H986" s="1619"/>
      <c r="I986" s="1620"/>
      <c r="J986" s="1620"/>
    </row>
    <row r="987" spans="1:10" s="1604" customFormat="1">
      <c r="A987" s="835"/>
      <c r="B987" s="835"/>
      <c r="C987" s="835"/>
      <c r="D987" s="835"/>
      <c r="G987" s="1625"/>
      <c r="H987" s="1619"/>
      <c r="I987" s="1620"/>
      <c r="J987" s="1620"/>
    </row>
    <row r="988" spans="1:10" s="1604" customFormat="1">
      <c r="A988" s="835"/>
      <c r="B988" s="835"/>
      <c r="C988" s="835"/>
      <c r="D988" s="835"/>
      <c r="G988" s="1625"/>
      <c r="H988" s="1619"/>
      <c r="I988" s="1620"/>
      <c r="J988" s="1620"/>
    </row>
    <row r="989" spans="1:10" s="1604" customFormat="1">
      <c r="A989" s="835"/>
      <c r="B989" s="835"/>
      <c r="C989" s="835"/>
      <c r="D989" s="835"/>
      <c r="G989" s="1625"/>
      <c r="H989" s="1619"/>
      <c r="I989" s="1620"/>
      <c r="J989" s="1620"/>
    </row>
    <row r="990" spans="1:10" s="1604" customFormat="1">
      <c r="A990" s="835"/>
      <c r="B990" s="835"/>
      <c r="C990" s="835"/>
      <c r="D990" s="835"/>
      <c r="G990" s="1625"/>
      <c r="H990" s="1619"/>
      <c r="I990" s="1620"/>
      <c r="J990" s="1620"/>
    </row>
    <row r="991" spans="1:10" s="1604" customFormat="1">
      <c r="A991" s="835"/>
      <c r="B991" s="835"/>
      <c r="C991" s="835"/>
      <c r="D991" s="835"/>
      <c r="G991" s="1625"/>
      <c r="H991" s="1619"/>
      <c r="I991" s="1620"/>
      <c r="J991" s="1620"/>
    </row>
    <row r="992" spans="1:10" s="1604" customFormat="1">
      <c r="A992" s="835"/>
      <c r="B992" s="835"/>
      <c r="C992" s="835"/>
      <c r="D992" s="835"/>
      <c r="G992" s="1625"/>
      <c r="H992" s="1619"/>
      <c r="I992" s="1620"/>
      <c r="J992" s="1620"/>
    </row>
    <row r="993" spans="1:10" s="1604" customFormat="1">
      <c r="A993" s="835"/>
      <c r="B993" s="835"/>
      <c r="C993" s="835"/>
      <c r="D993" s="835"/>
      <c r="G993" s="1625"/>
      <c r="H993" s="1619"/>
      <c r="I993" s="1620"/>
      <c r="J993" s="1620"/>
    </row>
    <row r="994" spans="1:10" s="1604" customFormat="1">
      <c r="A994" s="835"/>
      <c r="B994" s="835"/>
      <c r="C994" s="835"/>
      <c r="D994" s="835"/>
      <c r="G994" s="1625"/>
      <c r="H994" s="1619"/>
      <c r="I994" s="1620"/>
      <c r="J994" s="1620"/>
    </row>
    <row r="995" spans="1:10" s="1604" customFormat="1">
      <c r="A995" s="835"/>
      <c r="B995" s="835"/>
      <c r="C995" s="835"/>
      <c r="D995" s="835"/>
      <c r="G995" s="1625"/>
      <c r="H995" s="1619"/>
      <c r="I995" s="1620"/>
      <c r="J995" s="1620"/>
    </row>
    <row r="996" spans="1:10" s="1604" customFormat="1">
      <c r="A996" s="835"/>
      <c r="B996" s="835"/>
      <c r="C996" s="835"/>
      <c r="D996" s="835"/>
      <c r="G996" s="1625"/>
      <c r="H996" s="1619"/>
      <c r="I996" s="1620"/>
      <c r="J996" s="1620"/>
    </row>
    <row r="997" spans="1:10" s="1604" customFormat="1">
      <c r="A997" s="835"/>
      <c r="B997" s="835"/>
      <c r="C997" s="835"/>
      <c r="D997" s="835"/>
      <c r="G997" s="1625"/>
      <c r="H997" s="1619"/>
      <c r="I997" s="1620"/>
      <c r="J997" s="1620"/>
    </row>
    <row r="998" spans="1:10" s="1604" customFormat="1">
      <c r="A998" s="835"/>
      <c r="B998" s="835"/>
      <c r="C998" s="835"/>
      <c r="D998" s="835"/>
      <c r="G998" s="1625"/>
      <c r="H998" s="1619"/>
      <c r="I998" s="1620"/>
      <c r="J998" s="1620"/>
    </row>
    <row r="999" spans="1:10" s="1604" customFormat="1">
      <c r="A999" s="835"/>
      <c r="B999" s="835"/>
      <c r="C999" s="835"/>
      <c r="D999" s="835"/>
      <c r="G999" s="1625"/>
      <c r="H999" s="1619"/>
      <c r="I999" s="1620"/>
      <c r="J999" s="1620"/>
    </row>
    <row r="1000" spans="1:10" s="1604" customFormat="1">
      <c r="A1000" s="835"/>
      <c r="B1000" s="835"/>
      <c r="C1000" s="835"/>
      <c r="D1000" s="835"/>
      <c r="G1000" s="1625"/>
      <c r="H1000" s="1619"/>
      <c r="I1000" s="1620"/>
      <c r="J1000" s="1620"/>
    </row>
    <row r="1001" spans="1:10" s="1604" customFormat="1">
      <c r="A1001" s="835"/>
      <c r="B1001" s="835"/>
      <c r="C1001" s="835"/>
      <c r="D1001" s="835"/>
      <c r="G1001" s="1625"/>
      <c r="H1001" s="1619"/>
      <c r="I1001" s="1620"/>
      <c r="J1001" s="1620"/>
    </row>
    <row r="1002" spans="1:10" s="1604" customFormat="1">
      <c r="A1002" s="835"/>
      <c r="B1002" s="835"/>
      <c r="C1002" s="835"/>
      <c r="D1002" s="835"/>
      <c r="G1002" s="1625"/>
      <c r="H1002" s="1619"/>
      <c r="I1002" s="1620"/>
      <c r="J1002" s="1620"/>
    </row>
    <row r="1003" spans="1:10" s="1604" customFormat="1">
      <c r="A1003" s="835"/>
      <c r="B1003" s="835"/>
      <c r="C1003" s="835"/>
      <c r="D1003" s="835"/>
      <c r="G1003" s="1625"/>
      <c r="H1003" s="1619"/>
      <c r="I1003" s="1620"/>
      <c r="J1003" s="1620"/>
    </row>
    <row r="1004" spans="1:10" s="1604" customFormat="1">
      <c r="A1004" s="835"/>
      <c r="B1004" s="835"/>
      <c r="C1004" s="835"/>
      <c r="D1004" s="835"/>
      <c r="G1004" s="1625"/>
      <c r="H1004" s="1619"/>
      <c r="I1004" s="1620"/>
      <c r="J1004" s="1620"/>
    </row>
    <row r="1005" spans="1:10" s="1604" customFormat="1">
      <c r="A1005" s="835"/>
      <c r="B1005" s="835"/>
      <c r="C1005" s="835"/>
      <c r="D1005" s="835"/>
      <c r="G1005" s="1625"/>
      <c r="H1005" s="1619"/>
      <c r="I1005" s="1620"/>
      <c r="J1005" s="1620"/>
    </row>
    <row r="1006" spans="1:10" s="1604" customFormat="1">
      <c r="A1006" s="835"/>
      <c r="B1006" s="835"/>
      <c r="C1006" s="835"/>
      <c r="D1006" s="835"/>
      <c r="G1006" s="1625"/>
      <c r="H1006" s="1619"/>
      <c r="I1006" s="1620"/>
      <c r="J1006" s="1620"/>
    </row>
    <row r="1007" spans="1:10" s="1604" customFormat="1">
      <c r="A1007" s="835"/>
      <c r="B1007" s="835"/>
      <c r="C1007" s="835"/>
      <c r="D1007" s="835"/>
      <c r="G1007" s="1625"/>
      <c r="H1007" s="1619"/>
      <c r="I1007" s="1620"/>
      <c r="J1007" s="1620"/>
    </row>
    <row r="1008" spans="1:10" s="1604" customFormat="1">
      <c r="A1008" s="835"/>
      <c r="B1008" s="835"/>
      <c r="C1008" s="835"/>
      <c r="D1008" s="835"/>
      <c r="G1008" s="1625"/>
      <c r="H1008" s="1619"/>
      <c r="I1008" s="1620"/>
      <c r="J1008" s="1620"/>
    </row>
    <row r="1009" spans="1:10" s="1604" customFormat="1">
      <c r="A1009" s="835"/>
      <c r="B1009" s="835"/>
      <c r="C1009" s="835"/>
      <c r="D1009" s="835"/>
      <c r="G1009" s="1625"/>
      <c r="H1009" s="1619"/>
      <c r="I1009" s="1620"/>
      <c r="J1009" s="1620"/>
    </row>
    <row r="1010" spans="1:10" s="1604" customFormat="1">
      <c r="A1010" s="835"/>
      <c r="B1010" s="835"/>
      <c r="C1010" s="835"/>
      <c r="D1010" s="835"/>
      <c r="G1010" s="1625"/>
      <c r="H1010" s="1619"/>
      <c r="I1010" s="1620"/>
      <c r="J1010" s="1620"/>
    </row>
    <row r="1011" spans="1:10" s="1604" customFormat="1">
      <c r="A1011" s="835"/>
      <c r="B1011" s="835"/>
      <c r="C1011" s="835"/>
      <c r="D1011" s="835"/>
      <c r="G1011" s="1625"/>
      <c r="H1011" s="1619"/>
      <c r="I1011" s="1620"/>
      <c r="J1011" s="1620"/>
    </row>
    <row r="1012" spans="1:10" s="1604" customFormat="1">
      <c r="A1012" s="835"/>
      <c r="B1012" s="835"/>
      <c r="C1012" s="835"/>
      <c r="D1012" s="835"/>
      <c r="G1012" s="1625"/>
      <c r="H1012" s="1619"/>
      <c r="I1012" s="1620"/>
      <c r="J1012" s="1620"/>
    </row>
    <row r="1013" spans="1:10" s="1604" customFormat="1">
      <c r="A1013" s="835"/>
      <c r="B1013" s="835"/>
      <c r="C1013" s="835"/>
      <c r="D1013" s="835"/>
      <c r="G1013" s="1625"/>
      <c r="H1013" s="1619"/>
      <c r="I1013" s="1620"/>
      <c r="J1013" s="1620"/>
    </row>
    <row r="1014" spans="1:10" s="1604" customFormat="1">
      <c r="A1014" s="835"/>
      <c r="B1014" s="835"/>
      <c r="C1014" s="835"/>
      <c r="D1014" s="835"/>
      <c r="G1014" s="1625"/>
      <c r="H1014" s="1619"/>
      <c r="I1014" s="1620"/>
      <c r="J1014" s="1620"/>
    </row>
    <row r="1015" spans="1:10" s="1604" customFormat="1">
      <c r="A1015" s="835"/>
      <c r="B1015" s="835"/>
      <c r="C1015" s="835"/>
      <c r="D1015" s="835"/>
      <c r="G1015" s="1625"/>
      <c r="H1015" s="1619"/>
      <c r="I1015" s="1620"/>
      <c r="J1015" s="1620"/>
    </row>
    <row r="1016" spans="1:10" s="1604" customFormat="1">
      <c r="A1016" s="835"/>
      <c r="B1016" s="835"/>
      <c r="C1016" s="835"/>
      <c r="D1016" s="835"/>
      <c r="G1016" s="1625"/>
      <c r="H1016" s="1619"/>
      <c r="I1016" s="1620"/>
      <c r="J1016" s="1620"/>
    </row>
    <row r="1017" spans="1:10" s="1604" customFormat="1">
      <c r="A1017" s="835"/>
      <c r="B1017" s="835"/>
      <c r="C1017" s="835"/>
      <c r="D1017" s="835"/>
      <c r="G1017" s="1625"/>
      <c r="H1017" s="1619"/>
      <c r="I1017" s="1620"/>
      <c r="J1017" s="1620"/>
    </row>
    <row r="1018" spans="1:10" s="1604" customFormat="1">
      <c r="A1018" s="835"/>
      <c r="B1018" s="835"/>
      <c r="C1018" s="835"/>
      <c r="D1018" s="835"/>
      <c r="G1018" s="1625"/>
      <c r="H1018" s="1619"/>
      <c r="I1018" s="1620"/>
      <c r="J1018" s="1620"/>
    </row>
    <row r="1019" spans="1:10" s="1604" customFormat="1">
      <c r="A1019" s="835"/>
      <c r="B1019" s="835"/>
      <c r="C1019" s="835"/>
      <c r="D1019" s="835"/>
      <c r="G1019" s="1625"/>
      <c r="H1019" s="1619"/>
      <c r="I1019" s="1620"/>
      <c r="J1019" s="1620"/>
    </row>
    <row r="1020" spans="1:10" s="1604" customFormat="1">
      <c r="A1020" s="835"/>
      <c r="B1020" s="835"/>
      <c r="C1020" s="835"/>
      <c r="D1020" s="835"/>
      <c r="G1020" s="1625"/>
      <c r="H1020" s="1619"/>
      <c r="I1020" s="1620"/>
      <c r="J1020" s="1620"/>
    </row>
    <row r="1021" spans="1:10" s="1604" customFormat="1">
      <c r="A1021" s="835"/>
      <c r="B1021" s="835"/>
      <c r="C1021" s="835"/>
      <c r="D1021" s="835"/>
      <c r="G1021" s="1625"/>
      <c r="H1021" s="1619"/>
      <c r="I1021" s="1620"/>
      <c r="J1021" s="1620"/>
    </row>
    <row r="1022" spans="1:10" s="1604" customFormat="1">
      <c r="A1022" s="835"/>
      <c r="B1022" s="835"/>
      <c r="C1022" s="835"/>
      <c r="D1022" s="835"/>
      <c r="G1022" s="1625"/>
      <c r="H1022" s="1619"/>
      <c r="I1022" s="1620"/>
      <c r="J1022" s="1620"/>
    </row>
    <row r="1023" spans="1:10" s="1604" customFormat="1">
      <c r="A1023" s="835"/>
      <c r="B1023" s="835"/>
      <c r="C1023" s="835"/>
      <c r="D1023" s="835"/>
      <c r="G1023" s="1625"/>
      <c r="H1023" s="1619"/>
      <c r="I1023" s="1620"/>
      <c r="J1023" s="1620"/>
    </row>
    <row r="1024" spans="1:10" s="1604" customFormat="1">
      <c r="A1024" s="835"/>
      <c r="B1024" s="835"/>
      <c r="C1024" s="835"/>
      <c r="D1024" s="835"/>
      <c r="G1024" s="1625"/>
      <c r="H1024" s="1619"/>
      <c r="I1024" s="1620"/>
      <c r="J1024" s="1620"/>
    </row>
    <row r="1025" spans="1:10" s="1604" customFormat="1">
      <c r="A1025" s="835"/>
      <c r="B1025" s="835"/>
      <c r="C1025" s="835"/>
      <c r="D1025" s="835"/>
      <c r="G1025" s="1625"/>
      <c r="H1025" s="1619"/>
      <c r="I1025" s="1620"/>
      <c r="J1025" s="1620"/>
    </row>
    <row r="1026" spans="1:10" s="1604" customFormat="1">
      <c r="A1026" s="835"/>
      <c r="B1026" s="835"/>
      <c r="C1026" s="835"/>
      <c r="D1026" s="835"/>
      <c r="G1026" s="1625"/>
      <c r="H1026" s="1619"/>
      <c r="I1026" s="1620"/>
      <c r="J1026" s="1620"/>
    </row>
    <row r="1027" spans="1:10" s="1604" customFormat="1">
      <c r="A1027" s="835"/>
      <c r="B1027" s="835"/>
      <c r="C1027" s="835"/>
      <c r="D1027" s="835"/>
      <c r="G1027" s="1625"/>
      <c r="H1027" s="1619"/>
      <c r="I1027" s="1620"/>
      <c r="J1027" s="1620"/>
    </row>
    <row r="1028" spans="1:10" s="1604" customFormat="1">
      <c r="A1028" s="835"/>
      <c r="B1028" s="835"/>
      <c r="C1028" s="835"/>
      <c r="D1028" s="835"/>
      <c r="G1028" s="1625"/>
      <c r="H1028" s="1619"/>
      <c r="I1028" s="1620"/>
      <c r="J1028" s="1620"/>
    </row>
    <row r="1029" spans="1:10" s="1604" customFormat="1">
      <c r="A1029" s="835"/>
      <c r="B1029" s="835"/>
      <c r="C1029" s="835"/>
      <c r="D1029" s="835"/>
      <c r="G1029" s="1625"/>
      <c r="H1029" s="1619"/>
      <c r="I1029" s="1620"/>
      <c r="J1029" s="1620"/>
    </row>
    <row r="1030" spans="1:10" s="1604" customFormat="1">
      <c r="A1030" s="835"/>
      <c r="B1030" s="835"/>
      <c r="C1030" s="835"/>
      <c r="D1030" s="835"/>
      <c r="G1030" s="1625"/>
      <c r="H1030" s="1619"/>
      <c r="I1030" s="1620"/>
      <c r="J1030" s="1620"/>
    </row>
    <row r="1031" spans="1:10" s="1604" customFormat="1">
      <c r="A1031" s="835"/>
      <c r="B1031" s="835"/>
      <c r="C1031" s="835"/>
      <c r="D1031" s="835"/>
      <c r="G1031" s="1625"/>
      <c r="H1031" s="1619"/>
      <c r="I1031" s="1620"/>
      <c r="J1031" s="1620"/>
    </row>
    <row r="1032" spans="1:10" s="1604" customFormat="1">
      <c r="A1032" s="835"/>
      <c r="B1032" s="835"/>
      <c r="C1032" s="835"/>
      <c r="D1032" s="835"/>
      <c r="G1032" s="1625"/>
      <c r="H1032" s="1619"/>
      <c r="I1032" s="1620"/>
      <c r="J1032" s="1620"/>
    </row>
    <row r="1033" spans="1:10" s="1604" customFormat="1">
      <c r="A1033" s="835"/>
      <c r="B1033" s="835"/>
      <c r="C1033" s="835"/>
      <c r="D1033" s="835"/>
      <c r="G1033" s="1625"/>
      <c r="H1033" s="1619"/>
      <c r="I1033" s="1620"/>
      <c r="J1033" s="1620"/>
    </row>
    <row r="1034" spans="1:10" s="1604" customFormat="1">
      <c r="A1034" s="835"/>
      <c r="B1034" s="835"/>
      <c r="C1034" s="835"/>
      <c r="D1034" s="835"/>
      <c r="G1034" s="1625"/>
      <c r="H1034" s="1619"/>
      <c r="I1034" s="1620"/>
      <c r="J1034" s="1620"/>
    </row>
    <row r="1035" spans="1:10" s="1604" customFormat="1">
      <c r="A1035" s="835"/>
      <c r="B1035" s="835"/>
      <c r="C1035" s="835"/>
      <c r="D1035" s="835"/>
      <c r="G1035" s="1625"/>
      <c r="H1035" s="1619"/>
      <c r="I1035" s="1620"/>
      <c r="J1035" s="1620"/>
    </row>
    <row r="1036" spans="1:10" s="1604" customFormat="1">
      <c r="A1036" s="835"/>
      <c r="B1036" s="835"/>
      <c r="C1036" s="835"/>
      <c r="D1036" s="835"/>
      <c r="G1036" s="1625"/>
      <c r="H1036" s="1619"/>
      <c r="I1036" s="1620"/>
      <c r="J1036" s="1620"/>
    </row>
    <row r="1037" spans="1:10" s="1604" customFormat="1">
      <c r="A1037" s="835"/>
      <c r="B1037" s="835"/>
      <c r="C1037" s="835"/>
      <c r="D1037" s="835"/>
      <c r="G1037" s="1625"/>
      <c r="H1037" s="1619"/>
      <c r="I1037" s="1620"/>
      <c r="J1037" s="1620"/>
    </row>
    <row r="1038" spans="1:10" s="1604" customFormat="1">
      <c r="A1038" s="835"/>
      <c r="B1038" s="835"/>
      <c r="C1038" s="835"/>
      <c r="D1038" s="835"/>
      <c r="G1038" s="1625"/>
      <c r="H1038" s="1619"/>
      <c r="I1038" s="1620"/>
      <c r="J1038" s="1620"/>
    </row>
    <row r="1039" spans="1:10" s="1604" customFormat="1">
      <c r="A1039" s="835"/>
      <c r="B1039" s="835"/>
      <c r="C1039" s="835"/>
      <c r="D1039" s="835"/>
      <c r="G1039" s="1625"/>
      <c r="H1039" s="1619"/>
      <c r="I1039" s="1620"/>
      <c r="J1039" s="1620"/>
    </row>
    <row r="1040" spans="1:10" s="1604" customFormat="1">
      <c r="A1040" s="835"/>
      <c r="B1040" s="835"/>
      <c r="C1040" s="835"/>
      <c r="D1040" s="835"/>
      <c r="G1040" s="1625"/>
      <c r="H1040" s="1619"/>
      <c r="I1040" s="1620"/>
      <c r="J1040" s="1620"/>
    </row>
    <row r="1041" spans="1:10" s="1604" customFormat="1">
      <c r="A1041" s="835"/>
      <c r="B1041" s="835"/>
      <c r="C1041" s="835"/>
      <c r="D1041" s="835"/>
      <c r="G1041" s="1625"/>
      <c r="H1041" s="1619"/>
      <c r="I1041" s="1620"/>
      <c r="J1041" s="1620"/>
    </row>
    <row r="1042" spans="1:10" s="1604" customFormat="1">
      <c r="A1042" s="835"/>
      <c r="B1042" s="835"/>
      <c r="C1042" s="835"/>
      <c r="D1042" s="835"/>
      <c r="G1042" s="1625"/>
      <c r="H1042" s="1619"/>
      <c r="I1042" s="1620"/>
      <c r="J1042" s="1620"/>
    </row>
    <row r="1043" spans="1:10" s="1604" customFormat="1">
      <c r="A1043" s="835"/>
      <c r="B1043" s="835"/>
      <c r="C1043" s="835"/>
      <c r="D1043" s="835"/>
      <c r="G1043" s="1625"/>
      <c r="H1043" s="1619"/>
      <c r="I1043" s="1620"/>
      <c r="J1043" s="1620"/>
    </row>
    <row r="1044" spans="1:10" s="1604" customFormat="1">
      <c r="A1044" s="835"/>
      <c r="B1044" s="835"/>
      <c r="C1044" s="835"/>
      <c r="D1044" s="835"/>
      <c r="G1044" s="1625"/>
      <c r="H1044" s="1619"/>
      <c r="I1044" s="1620"/>
      <c r="J1044" s="1620"/>
    </row>
    <row r="1045" spans="1:10" s="1604" customFormat="1">
      <c r="A1045" s="835"/>
      <c r="B1045" s="835"/>
      <c r="C1045" s="835"/>
      <c r="D1045" s="835"/>
      <c r="G1045" s="1625"/>
      <c r="H1045" s="1619"/>
      <c r="I1045" s="1620"/>
      <c r="J1045" s="1620"/>
    </row>
    <row r="1046" spans="1:10" s="1604" customFormat="1">
      <c r="A1046" s="835"/>
      <c r="B1046" s="835"/>
      <c r="C1046" s="835"/>
      <c r="D1046" s="835"/>
      <c r="G1046" s="1625"/>
      <c r="H1046" s="1619"/>
      <c r="I1046" s="1620"/>
      <c r="J1046" s="1620"/>
    </row>
    <row r="1047" spans="1:10" s="1604" customFormat="1">
      <c r="A1047" s="835"/>
      <c r="B1047" s="835"/>
      <c r="C1047" s="835"/>
      <c r="D1047" s="835"/>
      <c r="G1047" s="1625"/>
      <c r="H1047" s="1619"/>
      <c r="I1047" s="1620"/>
      <c r="J1047" s="1620"/>
    </row>
    <row r="1048" spans="1:10" s="1604" customFormat="1">
      <c r="A1048" s="835"/>
      <c r="B1048" s="835"/>
      <c r="C1048" s="835"/>
      <c r="D1048" s="835"/>
      <c r="G1048" s="1625"/>
      <c r="H1048" s="1619"/>
      <c r="I1048" s="1620"/>
      <c r="J1048" s="1620"/>
    </row>
    <row r="1049" spans="1:10" s="1604" customFormat="1">
      <c r="A1049" s="835"/>
      <c r="B1049" s="835"/>
      <c r="C1049" s="835"/>
      <c r="D1049" s="835"/>
      <c r="G1049" s="1625"/>
      <c r="H1049" s="1619"/>
      <c r="I1049" s="1620"/>
      <c r="J1049" s="1620"/>
    </row>
    <row r="1050" spans="1:10" s="1604" customFormat="1">
      <c r="A1050" s="835"/>
      <c r="B1050" s="835"/>
      <c r="C1050" s="835"/>
      <c r="D1050" s="835"/>
      <c r="G1050" s="1625"/>
      <c r="H1050" s="1619"/>
      <c r="I1050" s="1620"/>
      <c r="J1050" s="1620"/>
    </row>
    <row r="1051" spans="1:10" s="1604" customFormat="1">
      <c r="A1051" s="835"/>
      <c r="B1051" s="835"/>
      <c r="C1051" s="835"/>
      <c r="D1051" s="835"/>
      <c r="G1051" s="1625"/>
      <c r="H1051" s="1619"/>
      <c r="I1051" s="1620"/>
      <c r="J1051" s="1620"/>
    </row>
    <row r="1052" spans="1:10" s="1604" customFormat="1">
      <c r="A1052" s="835"/>
      <c r="B1052" s="835"/>
      <c r="C1052" s="835"/>
      <c r="D1052" s="835"/>
      <c r="G1052" s="1625"/>
      <c r="H1052" s="1619"/>
      <c r="I1052" s="1620"/>
      <c r="J1052" s="1620"/>
    </row>
    <row r="1053" spans="1:10" s="1604" customFormat="1">
      <c r="A1053" s="835"/>
      <c r="B1053" s="835"/>
      <c r="C1053" s="835"/>
      <c r="D1053" s="835"/>
      <c r="G1053" s="1625"/>
      <c r="H1053" s="1619"/>
      <c r="I1053" s="1620"/>
      <c r="J1053" s="1620"/>
    </row>
    <row r="1054" spans="1:10" s="1604" customFormat="1">
      <c r="A1054" s="835"/>
      <c r="B1054" s="835"/>
      <c r="C1054" s="835"/>
      <c r="D1054" s="835"/>
      <c r="G1054" s="1625"/>
      <c r="H1054" s="1619"/>
      <c r="I1054" s="1620"/>
      <c r="J1054" s="1620"/>
    </row>
    <row r="1055" spans="1:10" s="1604" customFormat="1">
      <c r="A1055" s="835"/>
      <c r="B1055" s="835"/>
      <c r="C1055" s="835"/>
      <c r="D1055" s="835"/>
      <c r="G1055" s="1625"/>
      <c r="H1055" s="1619"/>
      <c r="I1055" s="1620"/>
      <c r="J1055" s="1620"/>
    </row>
    <row r="1056" spans="1:10" s="1604" customFormat="1">
      <c r="A1056" s="835"/>
      <c r="B1056" s="835"/>
      <c r="C1056" s="835"/>
      <c r="D1056" s="835"/>
      <c r="G1056" s="1625"/>
      <c r="H1056" s="1619"/>
      <c r="I1056" s="1620"/>
      <c r="J1056" s="1620"/>
    </row>
    <row r="1057" spans="1:10" s="1604" customFormat="1">
      <c r="A1057" s="835"/>
      <c r="B1057" s="835"/>
      <c r="C1057" s="835"/>
      <c r="D1057" s="835"/>
      <c r="G1057" s="1625"/>
      <c r="H1057" s="1619"/>
      <c r="I1057" s="1620"/>
      <c r="J1057" s="1620"/>
    </row>
    <row r="1058" spans="1:10" s="1604" customFormat="1">
      <c r="A1058" s="835"/>
      <c r="B1058" s="835"/>
      <c r="C1058" s="835"/>
      <c r="D1058" s="835"/>
      <c r="G1058" s="1625"/>
      <c r="H1058" s="1619"/>
      <c r="I1058" s="1620"/>
      <c r="J1058" s="1620"/>
    </row>
    <row r="1059" spans="1:10" s="1604" customFormat="1">
      <c r="A1059" s="835"/>
      <c r="B1059" s="835"/>
      <c r="C1059" s="835"/>
      <c r="D1059" s="835"/>
      <c r="G1059" s="1625"/>
      <c r="H1059" s="1619"/>
      <c r="I1059" s="1620"/>
      <c r="J1059" s="1620"/>
    </row>
    <row r="1060" spans="1:10" s="1604" customFormat="1">
      <c r="A1060" s="835"/>
      <c r="B1060" s="835"/>
      <c r="C1060" s="835"/>
      <c r="D1060" s="835"/>
      <c r="G1060" s="1625"/>
      <c r="H1060" s="1619"/>
      <c r="I1060" s="1620"/>
      <c r="J1060" s="1620"/>
    </row>
    <row r="1061" spans="1:10" s="1604" customFormat="1">
      <c r="A1061" s="835"/>
      <c r="B1061" s="835"/>
      <c r="C1061" s="835"/>
      <c r="D1061" s="835"/>
      <c r="G1061" s="1625"/>
      <c r="H1061" s="1619"/>
      <c r="I1061" s="1620"/>
      <c r="J1061" s="1620"/>
    </row>
    <row r="1062" spans="1:10" s="1604" customFormat="1">
      <c r="A1062" s="835"/>
      <c r="B1062" s="835"/>
      <c r="C1062" s="835"/>
      <c r="D1062" s="835"/>
      <c r="G1062" s="1625"/>
      <c r="H1062" s="1619"/>
      <c r="I1062" s="1620"/>
      <c r="J1062" s="1620"/>
    </row>
    <row r="1063" spans="1:10" s="1604" customFormat="1">
      <c r="A1063" s="835"/>
      <c r="B1063" s="835"/>
      <c r="C1063" s="835"/>
      <c r="D1063" s="835"/>
      <c r="G1063" s="1625"/>
      <c r="H1063" s="1619"/>
      <c r="I1063" s="1620"/>
      <c r="J1063" s="1620"/>
    </row>
    <row r="1064" spans="1:10" s="1604" customFormat="1">
      <c r="A1064" s="835"/>
      <c r="B1064" s="835"/>
      <c r="C1064" s="835"/>
      <c r="D1064" s="835"/>
      <c r="G1064" s="1625"/>
      <c r="H1064" s="1619"/>
      <c r="I1064" s="1620"/>
      <c r="J1064" s="1620"/>
    </row>
    <row r="1065" spans="1:10" s="1604" customFormat="1">
      <c r="A1065" s="835"/>
      <c r="B1065" s="835"/>
      <c r="C1065" s="835"/>
      <c r="D1065" s="835"/>
      <c r="G1065" s="1625"/>
      <c r="H1065" s="1619"/>
      <c r="I1065" s="1620"/>
      <c r="J1065" s="1620"/>
    </row>
    <row r="1066" spans="1:10" s="1604" customFormat="1">
      <c r="A1066" s="835"/>
      <c r="B1066" s="835"/>
      <c r="C1066" s="835"/>
      <c r="D1066" s="835"/>
      <c r="G1066" s="1625"/>
      <c r="H1066" s="1619"/>
      <c r="I1066" s="1620"/>
      <c r="J1066" s="1620"/>
    </row>
    <row r="1067" spans="1:10" s="1604" customFormat="1">
      <c r="A1067" s="835"/>
      <c r="B1067" s="835"/>
      <c r="C1067" s="835"/>
      <c r="D1067" s="835"/>
      <c r="G1067" s="1625"/>
      <c r="H1067" s="1619"/>
      <c r="I1067" s="1620"/>
      <c r="J1067" s="1620"/>
    </row>
    <row r="1068" spans="1:10" s="1604" customFormat="1">
      <c r="A1068" s="835"/>
      <c r="B1068" s="835"/>
      <c r="C1068" s="835"/>
      <c r="D1068" s="835"/>
      <c r="G1068" s="1625"/>
      <c r="H1068" s="1619"/>
      <c r="I1068" s="1620"/>
      <c r="J1068" s="1620"/>
    </row>
    <row r="1069" spans="1:10" s="1604" customFormat="1">
      <c r="A1069" s="835"/>
      <c r="B1069" s="835"/>
      <c r="C1069" s="835"/>
      <c r="D1069" s="835"/>
      <c r="G1069" s="1625"/>
      <c r="H1069" s="1619"/>
      <c r="I1069" s="1620"/>
      <c r="J1069" s="1620"/>
    </row>
    <row r="1070" spans="1:10" s="1604" customFormat="1">
      <c r="A1070" s="835"/>
      <c r="B1070" s="835"/>
      <c r="C1070" s="835"/>
      <c r="D1070" s="835"/>
      <c r="G1070" s="1625"/>
      <c r="H1070" s="1619"/>
      <c r="I1070" s="1620"/>
      <c r="J1070" s="1620"/>
    </row>
    <row r="1071" spans="1:10" s="1604" customFormat="1">
      <c r="A1071" s="835"/>
      <c r="B1071" s="835"/>
      <c r="C1071" s="835"/>
      <c r="D1071" s="835"/>
      <c r="G1071" s="1625"/>
      <c r="H1071" s="1619"/>
      <c r="I1071" s="1620"/>
      <c r="J1071" s="1620"/>
    </row>
    <row r="1072" spans="1:10" s="1604" customFormat="1">
      <c r="A1072" s="835"/>
      <c r="B1072" s="835"/>
      <c r="C1072" s="835"/>
      <c r="D1072" s="835"/>
      <c r="G1072" s="1625"/>
      <c r="H1072" s="1619"/>
      <c r="I1072" s="1620"/>
      <c r="J1072" s="1620"/>
    </row>
    <row r="1073" spans="1:10" s="1604" customFormat="1">
      <c r="A1073" s="835"/>
      <c r="B1073" s="835"/>
      <c r="C1073" s="835"/>
      <c r="D1073" s="835"/>
      <c r="G1073" s="1625"/>
      <c r="H1073" s="1619"/>
      <c r="I1073" s="1620"/>
      <c r="J1073" s="1620"/>
    </row>
    <row r="1074" spans="1:10" s="1604" customFormat="1">
      <c r="A1074" s="835"/>
      <c r="B1074" s="835"/>
      <c r="C1074" s="835"/>
      <c r="D1074" s="835"/>
      <c r="G1074" s="1625"/>
      <c r="H1074" s="1619"/>
      <c r="I1074" s="1620"/>
      <c r="J1074" s="1620"/>
    </row>
    <row r="1075" spans="1:10" s="1604" customFormat="1">
      <c r="A1075" s="835"/>
      <c r="B1075" s="835"/>
      <c r="C1075" s="835"/>
      <c r="D1075" s="835"/>
      <c r="G1075" s="1625"/>
      <c r="H1075" s="1619"/>
      <c r="I1075" s="1620"/>
      <c r="J1075" s="1620"/>
    </row>
    <row r="1076" spans="1:10" s="1604" customFormat="1">
      <c r="A1076" s="835"/>
      <c r="B1076" s="835"/>
      <c r="C1076" s="835"/>
      <c r="D1076" s="835"/>
      <c r="G1076" s="1625"/>
      <c r="H1076" s="1619"/>
      <c r="I1076" s="1620"/>
      <c r="J1076" s="1620"/>
    </row>
    <row r="1077" spans="1:10" s="1604" customFormat="1">
      <c r="A1077" s="835"/>
      <c r="B1077" s="835"/>
      <c r="C1077" s="835"/>
      <c r="D1077" s="835"/>
      <c r="G1077" s="1625"/>
      <c r="H1077" s="1619"/>
      <c r="I1077" s="1620"/>
      <c r="J1077" s="1620"/>
    </row>
    <row r="1078" spans="1:10" s="1604" customFormat="1">
      <c r="A1078" s="835"/>
      <c r="B1078" s="835"/>
      <c r="C1078" s="835"/>
      <c r="D1078" s="835"/>
      <c r="G1078" s="1625"/>
      <c r="H1078" s="1619"/>
      <c r="I1078" s="1620"/>
      <c r="J1078" s="1620"/>
    </row>
    <row r="1079" spans="1:10" s="1604" customFormat="1">
      <c r="A1079" s="835"/>
      <c r="B1079" s="835"/>
      <c r="C1079" s="835"/>
      <c r="D1079" s="835"/>
      <c r="G1079" s="1625"/>
      <c r="H1079" s="1619"/>
      <c r="I1079" s="1620"/>
      <c r="J1079" s="1620"/>
    </row>
    <row r="1080" spans="1:10" s="1604" customFormat="1">
      <c r="A1080" s="835"/>
      <c r="B1080" s="835"/>
      <c r="C1080" s="835"/>
      <c r="D1080" s="835"/>
      <c r="G1080" s="1625"/>
      <c r="H1080" s="1619"/>
      <c r="I1080" s="1620"/>
      <c r="J1080" s="1620"/>
    </row>
    <row r="1081" spans="1:10" s="1604" customFormat="1">
      <c r="A1081" s="835"/>
      <c r="B1081" s="835"/>
      <c r="C1081" s="835"/>
      <c r="D1081" s="835"/>
      <c r="G1081" s="1625"/>
      <c r="H1081" s="1619"/>
      <c r="I1081" s="1620"/>
      <c r="J1081" s="1620"/>
    </row>
    <row r="1082" spans="1:10" s="1604" customFormat="1">
      <c r="A1082" s="835"/>
      <c r="B1082" s="835"/>
      <c r="C1082" s="835"/>
      <c r="D1082" s="835"/>
      <c r="G1082" s="1625"/>
      <c r="H1082" s="1619"/>
      <c r="I1082" s="1620"/>
      <c r="J1082" s="1620"/>
    </row>
    <row r="1083" spans="1:10" s="1604" customFormat="1">
      <c r="A1083" s="835"/>
      <c r="B1083" s="835"/>
      <c r="C1083" s="835"/>
      <c r="D1083" s="835"/>
      <c r="G1083" s="1625"/>
      <c r="H1083" s="1619"/>
      <c r="I1083" s="1620"/>
      <c r="J1083" s="1620"/>
    </row>
    <row r="1084" spans="1:10" s="1604" customFormat="1">
      <c r="A1084" s="835"/>
      <c r="B1084" s="835"/>
      <c r="C1084" s="835"/>
      <c r="D1084" s="835"/>
      <c r="G1084" s="1625"/>
      <c r="H1084" s="1619"/>
      <c r="I1084" s="1620"/>
      <c r="J1084" s="1620"/>
    </row>
    <row r="1085" spans="1:10" s="1604" customFormat="1">
      <c r="A1085" s="835"/>
      <c r="B1085" s="835"/>
      <c r="C1085" s="835"/>
      <c r="D1085" s="835"/>
      <c r="G1085" s="1625"/>
      <c r="H1085" s="1619"/>
      <c r="I1085" s="1620"/>
      <c r="J1085" s="1620"/>
    </row>
    <row r="1086" spans="1:10" s="1604" customFormat="1">
      <c r="A1086" s="835"/>
      <c r="B1086" s="835"/>
      <c r="C1086" s="835"/>
      <c r="D1086" s="835"/>
      <c r="G1086" s="1625"/>
      <c r="H1086" s="1619"/>
      <c r="I1086" s="1620"/>
      <c r="J1086" s="1620"/>
    </row>
    <row r="1087" spans="1:10" s="1604" customFormat="1">
      <c r="A1087" s="835"/>
      <c r="B1087" s="835"/>
      <c r="C1087" s="835"/>
      <c r="D1087" s="835"/>
      <c r="G1087" s="1625"/>
      <c r="H1087" s="1619"/>
      <c r="I1087" s="1620"/>
      <c r="J1087" s="1620"/>
    </row>
    <row r="1088" spans="1:10" s="1604" customFormat="1">
      <c r="A1088" s="835"/>
      <c r="B1088" s="835"/>
      <c r="C1088" s="835"/>
      <c r="D1088" s="835"/>
      <c r="G1088" s="1625"/>
      <c r="H1088" s="1619"/>
      <c r="I1088" s="1620"/>
      <c r="J1088" s="1620"/>
    </row>
    <row r="1089" spans="1:10" s="1604" customFormat="1">
      <c r="A1089" s="835"/>
      <c r="B1089" s="835"/>
      <c r="C1089" s="835"/>
      <c r="D1089" s="835"/>
      <c r="G1089" s="1625"/>
      <c r="H1089" s="1619"/>
      <c r="I1089" s="1620"/>
      <c r="J1089" s="1620"/>
    </row>
    <row r="1090" spans="1:10" s="1604" customFormat="1">
      <c r="A1090" s="835"/>
      <c r="B1090" s="835"/>
      <c r="C1090" s="835"/>
      <c r="D1090" s="835"/>
      <c r="G1090" s="1625"/>
      <c r="H1090" s="1619"/>
      <c r="I1090" s="1620"/>
      <c r="J1090" s="1620"/>
    </row>
    <row r="1091" spans="1:10" s="1604" customFormat="1">
      <c r="A1091" s="835"/>
      <c r="B1091" s="835"/>
      <c r="C1091" s="835"/>
      <c r="D1091" s="835"/>
      <c r="G1091" s="1625"/>
      <c r="H1091" s="1619"/>
      <c r="I1091" s="1620"/>
      <c r="J1091" s="1620"/>
    </row>
    <row r="1092" spans="1:10" s="1604" customFormat="1">
      <c r="A1092" s="835"/>
      <c r="B1092" s="835"/>
      <c r="C1092" s="835"/>
      <c r="D1092" s="835"/>
      <c r="G1092" s="1625"/>
      <c r="H1092" s="1619"/>
      <c r="I1092" s="1620"/>
      <c r="J1092" s="1620"/>
    </row>
    <row r="1093" spans="1:10" s="1604" customFormat="1">
      <c r="A1093" s="835"/>
      <c r="B1093" s="835"/>
      <c r="C1093" s="835"/>
      <c r="D1093" s="835"/>
      <c r="G1093" s="1625"/>
      <c r="H1093" s="1619"/>
      <c r="I1093" s="1620"/>
      <c r="J1093" s="1620"/>
    </row>
    <row r="1094" spans="1:10" s="1604" customFormat="1">
      <c r="A1094" s="835"/>
      <c r="B1094" s="835"/>
      <c r="C1094" s="835"/>
      <c r="D1094" s="835"/>
      <c r="G1094" s="1625"/>
      <c r="H1094" s="1619"/>
      <c r="I1094" s="1620"/>
      <c r="J1094" s="1620"/>
    </row>
    <row r="1095" spans="1:10" s="1604" customFormat="1">
      <c r="A1095" s="835"/>
      <c r="B1095" s="835"/>
      <c r="C1095" s="835"/>
      <c r="D1095" s="835"/>
      <c r="G1095" s="1625"/>
      <c r="H1095" s="1619"/>
      <c r="I1095" s="1620"/>
      <c r="J1095" s="1620"/>
    </row>
    <row r="1096" spans="1:10" s="1604" customFormat="1">
      <c r="A1096" s="835"/>
      <c r="B1096" s="835"/>
      <c r="C1096" s="835"/>
      <c r="D1096" s="835"/>
      <c r="G1096" s="1625"/>
      <c r="H1096" s="1619"/>
      <c r="I1096" s="1620"/>
      <c r="J1096" s="1620"/>
    </row>
    <row r="1097" spans="1:10" s="1604" customFormat="1">
      <c r="A1097" s="835"/>
      <c r="B1097" s="835"/>
      <c r="C1097" s="835"/>
      <c r="D1097" s="835"/>
      <c r="G1097" s="1625"/>
      <c r="H1097" s="1619"/>
      <c r="I1097" s="1620"/>
      <c r="J1097" s="1620"/>
    </row>
    <row r="1098" spans="1:10" s="1604" customFormat="1">
      <c r="A1098" s="835"/>
      <c r="B1098" s="835"/>
      <c r="C1098" s="835"/>
      <c r="D1098" s="835"/>
      <c r="G1098" s="1625"/>
      <c r="H1098" s="1619"/>
      <c r="I1098" s="1620"/>
      <c r="J1098" s="1620"/>
    </row>
    <row r="1099" spans="1:10" s="1604" customFormat="1">
      <c r="A1099" s="835"/>
      <c r="B1099" s="835"/>
      <c r="C1099" s="835"/>
      <c r="D1099" s="835"/>
      <c r="G1099" s="1625"/>
      <c r="H1099" s="1619"/>
      <c r="I1099" s="1620"/>
      <c r="J1099" s="1620"/>
    </row>
    <row r="1100" spans="1:10" s="1604" customFormat="1">
      <c r="A1100" s="835"/>
      <c r="B1100" s="835"/>
      <c r="C1100" s="835"/>
      <c r="D1100" s="835"/>
      <c r="G1100" s="1625"/>
      <c r="H1100" s="1619"/>
      <c r="I1100" s="1620"/>
      <c r="J1100" s="1620"/>
    </row>
    <row r="1101" spans="1:10" s="1604" customFormat="1">
      <c r="A1101" s="835"/>
      <c r="B1101" s="835"/>
      <c r="C1101" s="835"/>
      <c r="D1101" s="835"/>
      <c r="G1101" s="1625"/>
      <c r="H1101" s="1619"/>
      <c r="I1101" s="1620"/>
      <c r="J1101" s="1620"/>
    </row>
    <row r="1102" spans="1:10" s="1604" customFormat="1">
      <c r="A1102" s="835"/>
      <c r="B1102" s="835"/>
      <c r="C1102" s="835"/>
      <c r="D1102" s="835"/>
      <c r="G1102" s="1625"/>
      <c r="H1102" s="1619"/>
      <c r="I1102" s="1620"/>
      <c r="J1102" s="1620"/>
    </row>
    <row r="1103" spans="1:10" s="1604" customFormat="1">
      <c r="A1103" s="835"/>
      <c r="B1103" s="835"/>
      <c r="C1103" s="835"/>
      <c r="D1103" s="835"/>
      <c r="G1103" s="1625"/>
      <c r="H1103" s="1619"/>
      <c r="I1103" s="1620"/>
      <c r="J1103" s="1620"/>
    </row>
    <row r="1104" spans="1:10" s="1604" customFormat="1">
      <c r="A1104" s="835"/>
      <c r="B1104" s="835"/>
      <c r="C1104" s="835"/>
      <c r="D1104" s="835"/>
      <c r="G1104" s="1625"/>
      <c r="H1104" s="1619"/>
      <c r="I1104" s="1620"/>
      <c r="J1104" s="1620"/>
    </row>
    <row r="1105" spans="1:10" s="1604" customFormat="1">
      <c r="A1105" s="835"/>
      <c r="B1105" s="835"/>
      <c r="C1105" s="835"/>
      <c r="D1105" s="835"/>
      <c r="G1105" s="1625"/>
      <c r="H1105" s="1619"/>
      <c r="I1105" s="1620"/>
      <c r="J1105" s="1620"/>
    </row>
    <row r="1106" spans="1:10" s="1604" customFormat="1">
      <c r="A1106" s="835"/>
      <c r="B1106" s="835"/>
      <c r="C1106" s="835"/>
      <c r="D1106" s="835"/>
      <c r="G1106" s="1625"/>
      <c r="H1106" s="1619"/>
      <c r="I1106" s="1620"/>
      <c r="J1106" s="1620"/>
    </row>
    <row r="1107" spans="1:10" s="1604" customFormat="1">
      <c r="A1107" s="835"/>
      <c r="B1107" s="835"/>
      <c r="C1107" s="835"/>
      <c r="D1107" s="835"/>
      <c r="G1107" s="1625"/>
      <c r="H1107" s="1619"/>
      <c r="I1107" s="1620"/>
      <c r="J1107" s="1620"/>
    </row>
    <row r="1108" spans="1:10" s="1604" customFormat="1">
      <c r="A1108" s="835"/>
      <c r="B1108" s="835"/>
      <c r="C1108" s="835"/>
      <c r="D1108" s="835"/>
      <c r="G1108" s="1625"/>
      <c r="H1108" s="1619"/>
      <c r="I1108" s="1620"/>
      <c r="J1108" s="1620"/>
    </row>
    <row r="1109" spans="1:10" s="1604" customFormat="1">
      <c r="A1109" s="835"/>
      <c r="B1109" s="835"/>
      <c r="C1109" s="835"/>
      <c r="D1109" s="835"/>
      <c r="G1109" s="1625"/>
      <c r="H1109" s="1619"/>
      <c r="I1109" s="1620"/>
      <c r="J1109" s="1620"/>
    </row>
    <row r="1110" spans="1:10" s="1604" customFormat="1">
      <c r="A1110" s="835"/>
      <c r="B1110" s="835"/>
      <c r="C1110" s="835"/>
      <c r="D1110" s="835"/>
      <c r="G1110" s="1625"/>
      <c r="H1110" s="1619"/>
      <c r="I1110" s="1620"/>
      <c r="J1110" s="1620"/>
    </row>
    <row r="1111" spans="1:10" s="1604" customFormat="1">
      <c r="A1111" s="835"/>
      <c r="B1111" s="835"/>
      <c r="C1111" s="835"/>
      <c r="D1111" s="835"/>
      <c r="G1111" s="1625"/>
      <c r="H1111" s="1619"/>
      <c r="I1111" s="1620"/>
      <c r="J1111" s="1620"/>
    </row>
    <row r="1112" spans="1:10" s="1604" customFormat="1">
      <c r="A1112" s="835"/>
      <c r="B1112" s="835"/>
      <c r="C1112" s="835"/>
      <c r="D1112" s="835"/>
      <c r="G1112" s="1625"/>
      <c r="H1112" s="1619"/>
      <c r="I1112" s="1620"/>
      <c r="J1112" s="1620"/>
    </row>
    <row r="1113" spans="1:10" s="1604" customFormat="1">
      <c r="A1113" s="835"/>
      <c r="B1113" s="835"/>
      <c r="C1113" s="835"/>
      <c r="D1113" s="835"/>
      <c r="G1113" s="1625"/>
      <c r="H1113" s="1619"/>
      <c r="I1113" s="1620"/>
      <c r="J1113" s="1620"/>
    </row>
    <row r="1114" spans="1:10" s="1604" customFormat="1">
      <c r="A1114" s="835"/>
      <c r="B1114" s="835"/>
      <c r="C1114" s="835"/>
      <c r="D1114" s="835"/>
      <c r="G1114" s="1625"/>
      <c r="H1114" s="1619"/>
      <c r="I1114" s="1620"/>
      <c r="J1114" s="1620"/>
    </row>
    <row r="1115" spans="1:10" s="1604" customFormat="1">
      <c r="A1115" s="835"/>
      <c r="B1115" s="835"/>
      <c r="C1115" s="835"/>
      <c r="D1115" s="835"/>
      <c r="G1115" s="1625"/>
      <c r="H1115" s="1619"/>
      <c r="I1115" s="1620"/>
      <c r="J1115" s="1620"/>
    </row>
    <row r="1116" spans="1:10" s="1604" customFormat="1">
      <c r="A1116" s="835"/>
      <c r="B1116" s="835"/>
      <c r="C1116" s="835"/>
      <c r="D1116" s="835"/>
      <c r="G1116" s="1625"/>
      <c r="H1116" s="1619"/>
      <c r="I1116" s="1620"/>
      <c r="J1116" s="1620"/>
    </row>
    <row r="1117" spans="1:10" s="1604" customFormat="1">
      <c r="A1117" s="835"/>
      <c r="B1117" s="835"/>
      <c r="C1117" s="835"/>
      <c r="D1117" s="835"/>
      <c r="G1117" s="1625"/>
      <c r="H1117" s="1619"/>
      <c r="I1117" s="1620"/>
      <c r="J1117" s="1620"/>
    </row>
    <row r="1118" spans="1:10" s="1604" customFormat="1">
      <c r="A1118" s="835"/>
      <c r="B1118" s="835"/>
      <c r="C1118" s="835"/>
      <c r="D1118" s="835"/>
      <c r="G1118" s="1625"/>
      <c r="H1118" s="1619"/>
      <c r="I1118" s="1620"/>
      <c r="J1118" s="1620"/>
    </row>
    <row r="1119" spans="1:10" s="1604" customFormat="1">
      <c r="A1119" s="835"/>
      <c r="B1119" s="835"/>
      <c r="C1119" s="835"/>
      <c r="D1119" s="835"/>
      <c r="G1119" s="1625"/>
      <c r="H1119" s="1619"/>
      <c r="I1119" s="1620"/>
      <c r="J1119" s="1620"/>
    </row>
    <row r="1120" spans="1:10" s="1604" customFormat="1">
      <c r="A1120" s="835"/>
      <c r="B1120" s="835"/>
      <c r="C1120" s="835"/>
      <c r="D1120" s="835"/>
      <c r="G1120" s="1625"/>
      <c r="H1120" s="1619"/>
      <c r="I1120" s="1620"/>
      <c r="J1120" s="1620"/>
    </row>
    <row r="1121" spans="1:10" s="1604" customFormat="1">
      <c r="A1121" s="835"/>
      <c r="B1121" s="835"/>
      <c r="C1121" s="835"/>
      <c r="D1121" s="835"/>
      <c r="G1121" s="1625"/>
      <c r="H1121" s="1619"/>
      <c r="I1121" s="1620"/>
      <c r="J1121" s="1620"/>
    </row>
    <row r="1122" spans="1:10" s="1604" customFormat="1">
      <c r="A1122" s="835"/>
      <c r="B1122" s="835"/>
      <c r="C1122" s="835"/>
      <c r="D1122" s="835"/>
      <c r="G1122" s="1625"/>
      <c r="H1122" s="1619"/>
      <c r="I1122" s="1620"/>
      <c r="J1122" s="1620"/>
    </row>
    <row r="1123" spans="1:10" s="1604" customFormat="1">
      <c r="A1123" s="835"/>
      <c r="B1123" s="835"/>
      <c r="C1123" s="835"/>
      <c r="D1123" s="835"/>
      <c r="G1123" s="1625"/>
      <c r="H1123" s="1619"/>
      <c r="I1123" s="1620"/>
      <c r="J1123" s="1620"/>
    </row>
    <row r="1124" spans="1:10" s="1604" customFormat="1">
      <c r="A1124" s="835"/>
      <c r="B1124" s="835"/>
      <c r="C1124" s="835"/>
      <c r="D1124" s="835"/>
      <c r="G1124" s="1625"/>
      <c r="H1124" s="1619"/>
      <c r="I1124" s="1620"/>
      <c r="J1124" s="1620"/>
    </row>
    <row r="1125" spans="1:10" s="1604" customFormat="1">
      <c r="A1125" s="835"/>
      <c r="B1125" s="835"/>
      <c r="C1125" s="835"/>
      <c r="D1125" s="835"/>
      <c r="G1125" s="1625"/>
      <c r="H1125" s="1619"/>
      <c r="I1125" s="1620"/>
      <c r="J1125" s="1620"/>
    </row>
    <row r="1126" spans="1:10" s="1604" customFormat="1">
      <c r="A1126" s="835"/>
      <c r="B1126" s="835"/>
      <c r="C1126" s="835"/>
      <c r="D1126" s="835"/>
      <c r="G1126" s="1625"/>
      <c r="H1126" s="1619"/>
      <c r="I1126" s="1620"/>
      <c r="J1126" s="1620"/>
    </row>
    <row r="1127" spans="1:10" s="1604" customFormat="1">
      <c r="A1127" s="835"/>
      <c r="B1127" s="835"/>
      <c r="C1127" s="835"/>
      <c r="D1127" s="835"/>
      <c r="G1127" s="1625"/>
      <c r="H1127" s="1619"/>
      <c r="I1127" s="1620"/>
      <c r="J1127" s="1620"/>
    </row>
    <row r="1128" spans="1:10" s="1604" customFormat="1">
      <c r="A1128" s="835"/>
      <c r="B1128" s="835"/>
      <c r="C1128" s="835"/>
      <c r="D1128" s="835"/>
      <c r="G1128" s="1625"/>
      <c r="H1128" s="1619"/>
      <c r="I1128" s="1620"/>
      <c r="J1128" s="1620"/>
    </row>
    <row r="1129" spans="1:10" s="1604" customFormat="1">
      <c r="A1129" s="835"/>
      <c r="B1129" s="835"/>
      <c r="C1129" s="835"/>
      <c r="D1129" s="835"/>
      <c r="G1129" s="1625"/>
      <c r="H1129" s="1619"/>
      <c r="I1129" s="1620"/>
      <c r="J1129" s="1620"/>
    </row>
    <row r="1130" spans="1:10" s="1604" customFormat="1">
      <c r="A1130" s="835"/>
      <c r="B1130" s="835"/>
      <c r="C1130" s="835"/>
      <c r="D1130" s="835"/>
      <c r="G1130" s="1625"/>
      <c r="H1130" s="1619"/>
      <c r="I1130" s="1620"/>
      <c r="J1130" s="1620"/>
    </row>
    <row r="1131" spans="1:10" s="1604" customFormat="1">
      <c r="A1131" s="835"/>
      <c r="B1131" s="835"/>
      <c r="C1131" s="835"/>
      <c r="D1131" s="835"/>
      <c r="G1131" s="1625"/>
      <c r="H1131" s="1619"/>
      <c r="I1131" s="1620"/>
      <c r="J1131" s="1620"/>
    </row>
    <row r="1132" spans="1:10" s="1604" customFormat="1">
      <c r="A1132" s="835"/>
      <c r="B1132" s="835"/>
      <c r="C1132" s="835"/>
      <c r="D1132" s="835"/>
      <c r="G1132" s="1625"/>
      <c r="H1132" s="1619"/>
      <c r="I1132" s="1620"/>
      <c r="J1132" s="1620"/>
    </row>
    <row r="1133" spans="1:10" s="1604" customFormat="1">
      <c r="A1133" s="835"/>
      <c r="B1133" s="835"/>
      <c r="C1133" s="835"/>
      <c r="D1133" s="835"/>
      <c r="G1133" s="1625"/>
      <c r="H1133" s="1619"/>
      <c r="I1133" s="1620"/>
      <c r="J1133" s="1620"/>
    </row>
    <row r="1134" spans="1:10" s="1604" customFormat="1">
      <c r="A1134" s="835"/>
      <c r="B1134" s="835"/>
      <c r="C1134" s="835"/>
      <c r="D1134" s="835"/>
      <c r="G1134" s="1625"/>
      <c r="H1134" s="1619"/>
      <c r="I1134" s="1620"/>
      <c r="J1134" s="1620"/>
    </row>
    <row r="1135" spans="1:10" s="1604" customFormat="1">
      <c r="A1135" s="835"/>
      <c r="B1135" s="835"/>
      <c r="C1135" s="835"/>
      <c r="D1135" s="835"/>
      <c r="G1135" s="1625"/>
      <c r="H1135" s="1619"/>
      <c r="I1135" s="1620"/>
      <c r="J1135" s="1620"/>
    </row>
    <row r="1136" spans="1:10" s="1604" customFormat="1">
      <c r="A1136" s="835"/>
      <c r="B1136" s="835"/>
      <c r="C1136" s="835"/>
      <c r="D1136" s="835"/>
      <c r="G1136" s="1625"/>
      <c r="H1136" s="1619"/>
      <c r="I1136" s="1620"/>
      <c r="J1136" s="1620"/>
    </row>
    <row r="1137" spans="1:10" s="1604" customFormat="1">
      <c r="A1137" s="835"/>
      <c r="B1137" s="835"/>
      <c r="C1137" s="835"/>
      <c r="D1137" s="835"/>
      <c r="G1137" s="1625"/>
      <c r="H1137" s="1619"/>
      <c r="I1137" s="1620"/>
      <c r="J1137" s="1620"/>
    </row>
    <row r="1138" spans="1:10" s="1604" customFormat="1">
      <c r="A1138" s="835"/>
      <c r="B1138" s="835"/>
      <c r="C1138" s="835"/>
      <c r="D1138" s="835"/>
      <c r="G1138" s="1625"/>
      <c r="H1138" s="1619"/>
      <c r="I1138" s="1620"/>
      <c r="J1138" s="1620"/>
    </row>
    <row r="1139" spans="1:10" s="1604" customFormat="1">
      <c r="A1139" s="835"/>
      <c r="B1139" s="835"/>
      <c r="C1139" s="835"/>
      <c r="D1139" s="835"/>
      <c r="G1139" s="1625"/>
      <c r="H1139" s="1619"/>
      <c r="I1139" s="1620"/>
      <c r="J1139" s="1620"/>
    </row>
    <row r="1140" spans="1:10" s="1604" customFormat="1">
      <c r="A1140" s="835"/>
      <c r="B1140" s="835"/>
      <c r="C1140" s="835"/>
      <c r="D1140" s="835"/>
      <c r="G1140" s="1625"/>
      <c r="H1140" s="1619"/>
      <c r="I1140" s="1620"/>
      <c r="J1140" s="1620"/>
    </row>
    <row r="1141" spans="1:10" s="1604" customFormat="1">
      <c r="A1141" s="835"/>
      <c r="B1141" s="835"/>
      <c r="C1141" s="835"/>
      <c r="D1141" s="835"/>
      <c r="G1141" s="1625"/>
      <c r="H1141" s="1619"/>
      <c r="I1141" s="1620"/>
      <c r="J1141" s="1620"/>
    </row>
    <row r="1142" spans="1:10" s="1604" customFormat="1">
      <c r="A1142" s="835"/>
      <c r="B1142" s="835"/>
      <c r="C1142" s="835"/>
      <c r="D1142" s="835"/>
      <c r="G1142" s="1625"/>
      <c r="H1142" s="1619"/>
      <c r="I1142" s="1620"/>
      <c r="J1142" s="1620"/>
    </row>
    <row r="1143" spans="1:10" s="1604" customFormat="1">
      <c r="A1143" s="835"/>
      <c r="B1143" s="835"/>
      <c r="C1143" s="835"/>
      <c r="D1143" s="835"/>
      <c r="G1143" s="1625"/>
      <c r="H1143" s="1619"/>
      <c r="I1143" s="1620"/>
      <c r="J1143" s="1620"/>
    </row>
    <row r="1144" spans="1:10" s="1604" customFormat="1">
      <c r="A1144" s="835"/>
      <c r="B1144" s="835"/>
      <c r="C1144" s="835"/>
      <c r="D1144" s="835"/>
      <c r="G1144" s="1625"/>
      <c r="H1144" s="1619"/>
      <c r="I1144" s="1620"/>
      <c r="J1144" s="1620"/>
    </row>
    <row r="1145" spans="1:10" s="1604" customFormat="1">
      <c r="A1145" s="835"/>
      <c r="B1145" s="835"/>
      <c r="C1145" s="835"/>
      <c r="D1145" s="835"/>
      <c r="G1145" s="1625"/>
      <c r="H1145" s="1619"/>
      <c r="I1145" s="1620"/>
      <c r="J1145" s="1620"/>
    </row>
    <row r="1146" spans="1:10" s="1604" customFormat="1">
      <c r="A1146" s="835"/>
      <c r="B1146" s="835"/>
      <c r="C1146" s="835"/>
      <c r="D1146" s="835"/>
      <c r="G1146" s="1625"/>
      <c r="H1146" s="1619"/>
      <c r="I1146" s="1620"/>
      <c r="J1146" s="1620"/>
    </row>
    <row r="1147" spans="1:10" s="1604" customFormat="1">
      <c r="A1147" s="835"/>
      <c r="B1147" s="835"/>
      <c r="C1147" s="835"/>
      <c r="D1147" s="835"/>
      <c r="G1147" s="1625"/>
      <c r="H1147" s="1619"/>
      <c r="I1147" s="1620"/>
      <c r="J1147" s="1620"/>
    </row>
    <row r="1148" spans="1:10" s="1604" customFormat="1">
      <c r="A1148" s="835"/>
      <c r="B1148" s="835"/>
      <c r="C1148" s="835"/>
      <c r="D1148" s="835"/>
      <c r="G1148" s="1625"/>
      <c r="H1148" s="1619"/>
      <c r="I1148" s="1620"/>
      <c r="J1148" s="1620"/>
    </row>
    <row r="1149" spans="1:10" s="1604" customFormat="1">
      <c r="A1149" s="835"/>
      <c r="B1149" s="835"/>
      <c r="C1149" s="835"/>
      <c r="D1149" s="835"/>
      <c r="G1149" s="1625"/>
      <c r="H1149" s="1619"/>
      <c r="I1149" s="1620"/>
      <c r="J1149" s="1620"/>
    </row>
    <row r="1150" spans="1:10" s="1604" customFormat="1">
      <c r="A1150" s="835"/>
      <c r="B1150" s="835"/>
      <c r="C1150" s="835"/>
      <c r="D1150" s="835"/>
      <c r="G1150" s="1625"/>
      <c r="H1150" s="1619"/>
      <c r="I1150" s="1620"/>
      <c r="J1150" s="1620"/>
    </row>
    <row r="1151" spans="1:10" s="1604" customFormat="1">
      <c r="A1151" s="835"/>
      <c r="B1151" s="835"/>
      <c r="C1151" s="835"/>
      <c r="D1151" s="835"/>
      <c r="G1151" s="1625"/>
      <c r="H1151" s="1619"/>
      <c r="I1151" s="1620"/>
      <c r="J1151" s="1620"/>
    </row>
    <row r="1152" spans="1:10" s="1604" customFormat="1">
      <c r="A1152" s="835"/>
      <c r="B1152" s="835"/>
      <c r="C1152" s="835"/>
      <c r="D1152" s="835"/>
      <c r="G1152" s="1625"/>
      <c r="H1152" s="1619"/>
      <c r="I1152" s="1620"/>
      <c r="J1152" s="1620"/>
    </row>
    <row r="1153" spans="1:10" s="1604" customFormat="1">
      <c r="A1153" s="835"/>
      <c r="B1153" s="835"/>
      <c r="C1153" s="835"/>
      <c r="D1153" s="835"/>
      <c r="G1153" s="1625"/>
      <c r="H1153" s="1619"/>
      <c r="I1153" s="1620"/>
      <c r="J1153" s="1620"/>
    </row>
    <row r="1154" spans="1:10" s="1604" customFormat="1">
      <c r="A1154" s="835"/>
      <c r="B1154" s="835"/>
      <c r="C1154" s="835"/>
      <c r="D1154" s="835"/>
      <c r="G1154" s="1625"/>
      <c r="H1154" s="1619"/>
      <c r="I1154" s="1620"/>
      <c r="J1154" s="1620"/>
    </row>
    <row r="1155" spans="1:10" s="1604" customFormat="1">
      <c r="A1155" s="835"/>
      <c r="B1155" s="835"/>
      <c r="C1155" s="835"/>
      <c r="D1155" s="835"/>
      <c r="G1155" s="1625"/>
      <c r="H1155" s="1619"/>
      <c r="I1155" s="1620"/>
      <c r="J1155" s="1620"/>
    </row>
    <row r="1156" spans="1:10" s="1604" customFormat="1">
      <c r="A1156" s="835"/>
      <c r="B1156" s="835"/>
      <c r="C1156" s="835"/>
      <c r="D1156" s="835"/>
      <c r="G1156" s="1625"/>
      <c r="H1156" s="1619"/>
      <c r="I1156" s="1620"/>
      <c r="J1156" s="1620"/>
    </row>
    <row r="1157" spans="1:10" s="1604" customFormat="1">
      <c r="A1157" s="835"/>
      <c r="B1157" s="835"/>
      <c r="C1157" s="835"/>
      <c r="D1157" s="835"/>
      <c r="G1157" s="1625"/>
      <c r="H1157" s="1619"/>
      <c r="I1157" s="1620"/>
      <c r="J1157" s="1620"/>
    </row>
    <row r="1158" spans="1:10" s="1604" customFormat="1">
      <c r="A1158" s="835"/>
      <c r="B1158" s="835"/>
      <c r="C1158" s="835"/>
      <c r="D1158" s="835"/>
      <c r="G1158" s="1625"/>
      <c r="H1158" s="1619"/>
      <c r="I1158" s="1620"/>
      <c r="J1158" s="1620"/>
    </row>
    <row r="1159" spans="1:10" s="1604" customFormat="1">
      <c r="A1159" s="835"/>
      <c r="B1159" s="835"/>
      <c r="C1159" s="835"/>
      <c r="D1159" s="835"/>
      <c r="G1159" s="1625"/>
      <c r="H1159" s="1619"/>
      <c r="I1159" s="1620"/>
      <c r="J1159" s="1620"/>
    </row>
    <row r="1160" spans="1:10" s="1604" customFormat="1">
      <c r="A1160" s="835"/>
      <c r="B1160" s="835"/>
      <c r="C1160" s="835"/>
      <c r="D1160" s="835"/>
      <c r="G1160" s="1625"/>
      <c r="H1160" s="1619"/>
      <c r="I1160" s="1620"/>
      <c r="J1160" s="1620"/>
    </row>
    <row r="1161" spans="1:10" s="1604" customFormat="1">
      <c r="A1161" s="835"/>
      <c r="B1161" s="835"/>
      <c r="C1161" s="835"/>
      <c r="D1161" s="835"/>
      <c r="G1161" s="1625"/>
      <c r="H1161" s="1619"/>
      <c r="I1161" s="1620"/>
      <c r="J1161" s="1620"/>
    </row>
    <row r="1162" spans="1:10" s="1604" customFormat="1">
      <c r="A1162" s="835"/>
      <c r="B1162" s="835"/>
      <c r="C1162" s="835"/>
      <c r="D1162" s="835"/>
      <c r="G1162" s="1625"/>
      <c r="H1162" s="1619"/>
      <c r="I1162" s="1620"/>
      <c r="J1162" s="1620"/>
    </row>
    <row r="1163" spans="1:10" s="1604" customFormat="1">
      <c r="A1163" s="835"/>
      <c r="B1163" s="835"/>
      <c r="C1163" s="835"/>
      <c r="D1163" s="835"/>
      <c r="G1163" s="1625"/>
      <c r="H1163" s="1619"/>
      <c r="I1163" s="1620"/>
      <c r="J1163" s="1620"/>
    </row>
    <row r="1164" spans="1:10" s="1604" customFormat="1">
      <c r="A1164" s="835"/>
      <c r="B1164" s="835"/>
      <c r="C1164" s="835"/>
      <c r="D1164" s="835"/>
      <c r="G1164" s="1625"/>
      <c r="H1164" s="1619"/>
      <c r="I1164" s="1620"/>
      <c r="J1164" s="1620"/>
    </row>
    <row r="1165" spans="1:10" s="1604" customFormat="1">
      <c r="A1165" s="835"/>
      <c r="B1165" s="835"/>
      <c r="C1165" s="835"/>
      <c r="D1165" s="835"/>
      <c r="G1165" s="1625"/>
      <c r="H1165" s="1619"/>
      <c r="I1165" s="1620"/>
      <c r="J1165" s="1620"/>
    </row>
    <row r="1166" spans="1:10" s="1604" customFormat="1">
      <c r="A1166" s="835"/>
      <c r="B1166" s="835"/>
      <c r="C1166" s="835"/>
      <c r="D1166" s="835"/>
      <c r="G1166" s="1625"/>
      <c r="H1166" s="1619"/>
      <c r="I1166" s="1620"/>
      <c r="J1166" s="1620"/>
    </row>
    <row r="1167" spans="1:10" s="1604" customFormat="1">
      <c r="A1167" s="835"/>
      <c r="B1167" s="835"/>
      <c r="C1167" s="835"/>
      <c r="D1167" s="835"/>
      <c r="G1167" s="1625"/>
      <c r="H1167" s="1619"/>
      <c r="I1167" s="1620"/>
      <c r="J1167" s="1620"/>
    </row>
    <row r="1168" spans="1:10" s="1604" customFormat="1">
      <c r="A1168" s="835"/>
      <c r="B1168" s="835"/>
      <c r="C1168" s="835"/>
      <c r="D1168" s="835"/>
      <c r="G1168" s="1625"/>
      <c r="H1168" s="1619"/>
      <c r="I1168" s="1620"/>
      <c r="J1168" s="1620"/>
    </row>
    <row r="1169" spans="1:10" s="1604" customFormat="1">
      <c r="A1169" s="835"/>
      <c r="B1169" s="835"/>
      <c r="C1169" s="835"/>
      <c r="D1169" s="835"/>
      <c r="G1169" s="1625"/>
      <c r="H1169" s="1619"/>
      <c r="I1169" s="1620"/>
      <c r="J1169" s="1620"/>
    </row>
    <row r="1170" spans="1:10" s="1604" customFormat="1">
      <c r="A1170" s="835"/>
      <c r="B1170" s="835"/>
      <c r="C1170" s="835"/>
      <c r="D1170" s="835"/>
      <c r="G1170" s="1625"/>
      <c r="H1170" s="1619"/>
      <c r="I1170" s="1620"/>
      <c r="J1170" s="1620"/>
    </row>
    <row r="1171" spans="1:10" s="1604" customFormat="1">
      <c r="A1171" s="835"/>
      <c r="B1171" s="835"/>
      <c r="C1171" s="835"/>
      <c r="D1171" s="835"/>
      <c r="G1171" s="1625"/>
      <c r="H1171" s="1619"/>
      <c r="I1171" s="1620"/>
      <c r="J1171" s="1620"/>
    </row>
    <row r="1172" spans="1:10" s="1604" customFormat="1">
      <c r="A1172" s="835"/>
      <c r="B1172" s="835"/>
      <c r="C1172" s="835"/>
      <c r="D1172" s="835"/>
      <c r="G1172" s="1625"/>
      <c r="H1172" s="1619"/>
      <c r="I1172" s="1620"/>
      <c r="J1172" s="1620"/>
    </row>
    <row r="1173" spans="1:10" s="1604" customFormat="1">
      <c r="A1173" s="835"/>
      <c r="B1173" s="835"/>
      <c r="C1173" s="835"/>
      <c r="D1173" s="835"/>
      <c r="G1173" s="1625"/>
      <c r="H1173" s="1619"/>
      <c r="I1173" s="1620"/>
      <c r="J1173" s="1620"/>
    </row>
    <row r="1174" spans="1:10" s="1604" customFormat="1">
      <c r="A1174" s="835"/>
      <c r="B1174" s="835"/>
      <c r="C1174" s="835"/>
      <c r="D1174" s="835"/>
      <c r="G1174" s="1625"/>
      <c r="H1174" s="1619"/>
      <c r="I1174" s="1620"/>
      <c r="J1174" s="1620"/>
    </row>
    <row r="1175" spans="1:10" s="1604" customFormat="1">
      <c r="A1175" s="835"/>
      <c r="B1175" s="835"/>
      <c r="C1175" s="835"/>
      <c r="D1175" s="835"/>
      <c r="G1175" s="1625"/>
      <c r="H1175" s="1619"/>
      <c r="I1175" s="1620"/>
      <c r="J1175" s="1620"/>
    </row>
    <row r="1176" spans="1:10" s="1604" customFormat="1">
      <c r="A1176" s="835"/>
      <c r="B1176" s="835"/>
      <c r="C1176" s="835"/>
      <c r="D1176" s="835"/>
      <c r="G1176" s="1625"/>
      <c r="H1176" s="1619"/>
      <c r="I1176" s="1620"/>
      <c r="J1176" s="1620"/>
    </row>
    <row r="1177" spans="1:10" s="1604" customFormat="1">
      <c r="A1177" s="835"/>
      <c r="B1177" s="835"/>
      <c r="C1177" s="835"/>
      <c r="D1177" s="835"/>
      <c r="G1177" s="1625"/>
      <c r="H1177" s="1619"/>
      <c r="I1177" s="1620"/>
      <c r="J1177" s="1620"/>
    </row>
    <row r="1178" spans="1:10" s="1604" customFormat="1">
      <c r="A1178" s="835"/>
      <c r="B1178" s="835"/>
      <c r="C1178" s="835"/>
      <c r="D1178" s="835"/>
      <c r="G1178" s="1625"/>
      <c r="H1178" s="1619"/>
      <c r="I1178" s="1620"/>
      <c r="J1178" s="1620"/>
    </row>
    <row r="1179" spans="1:10" s="1604" customFormat="1">
      <c r="A1179" s="835"/>
      <c r="B1179" s="835"/>
      <c r="C1179" s="835"/>
      <c r="D1179" s="835"/>
      <c r="G1179" s="1625"/>
      <c r="H1179" s="1619"/>
      <c r="I1179" s="1620"/>
      <c r="J1179" s="1620"/>
    </row>
    <row r="1180" spans="1:10" s="1604" customFormat="1">
      <c r="A1180" s="835"/>
      <c r="B1180" s="835"/>
      <c r="C1180" s="835"/>
      <c r="D1180" s="835"/>
      <c r="G1180" s="1625"/>
      <c r="H1180" s="1619"/>
      <c r="I1180" s="1620"/>
      <c r="J1180" s="1620"/>
    </row>
    <row r="1181" spans="1:10">
      <c r="A1181" s="835"/>
      <c r="B1181" s="835"/>
      <c r="C1181" s="835"/>
      <c r="D1181" s="835"/>
    </row>
    <row r="1182" spans="1:10">
      <c r="A1182" s="835"/>
      <c r="B1182" s="835"/>
      <c r="C1182" s="835"/>
      <c r="D1182" s="835"/>
    </row>
    <row r="1183" spans="1:10">
      <c r="A1183" s="835"/>
      <c r="B1183" s="835"/>
      <c r="C1183" s="835"/>
      <c r="D1183" s="835"/>
    </row>
    <row r="1184" spans="1:10">
      <c r="A1184" s="835"/>
      <c r="B1184" s="835"/>
      <c r="C1184" s="835"/>
      <c r="D1184" s="835"/>
    </row>
    <row r="1185" spans="1:4">
      <c r="A1185" s="835"/>
      <c r="B1185" s="835"/>
      <c r="C1185" s="835"/>
      <c r="D1185" s="835"/>
    </row>
    <row r="1186" spans="1:4">
      <c r="A1186" s="835"/>
      <c r="B1186" s="835"/>
      <c r="C1186" s="835"/>
      <c r="D1186" s="835"/>
    </row>
    <row r="1187" spans="1:4">
      <c r="A1187" s="835"/>
      <c r="B1187" s="835"/>
      <c r="C1187" s="835"/>
      <c r="D1187" s="835"/>
    </row>
    <row r="1188" spans="1:4">
      <c r="B1188" s="835"/>
      <c r="C1188" s="835"/>
      <c r="D1188" s="835"/>
    </row>
    <row r="1189" spans="1:4">
      <c r="B1189" s="835"/>
      <c r="C1189" s="835"/>
      <c r="D1189" s="835"/>
    </row>
    <row r="1190" spans="1:4">
      <c r="B1190" s="835"/>
      <c r="C1190" s="835"/>
      <c r="D1190" s="835"/>
    </row>
    <row r="1191" spans="1:4">
      <c r="B1191" s="835"/>
      <c r="C1191" s="835"/>
      <c r="D1191" s="835"/>
    </row>
  </sheetData>
  <sheetProtection algorithmName="SHA-512" hashValue="/PU/2ue028k5v+mEVKftVbk4Lv/53LKWNWtAckp9fCipHIM8M/sO30Fss6YM9GDLjxHxvVrrJM/vUqpDz204hg==" saltValue="erc7oTctEn6IHwJ6Z2g9IA==" spinCount="100000" sheet="1" objects="1" scenarios="1"/>
  <mergeCells count="300">
    <mergeCell ref="K7:K8"/>
    <mergeCell ref="L7:L8"/>
    <mergeCell ref="B12:C12"/>
    <mergeCell ref="D1:J2"/>
    <mergeCell ref="A3:L3"/>
    <mergeCell ref="A4:K4"/>
    <mergeCell ref="A7:A8"/>
    <mergeCell ref="B7:B8"/>
    <mergeCell ref="C7:C8"/>
    <mergeCell ref="D7:D8"/>
    <mergeCell ref="E7:E8"/>
    <mergeCell ref="F7:F8"/>
    <mergeCell ref="G7:G8"/>
    <mergeCell ref="B13:B15"/>
    <mergeCell ref="C13:C15"/>
    <mergeCell ref="B16:C16"/>
    <mergeCell ref="B19:C19"/>
    <mergeCell ref="B23:C23"/>
    <mergeCell ref="B25:C25"/>
    <mergeCell ref="H7:H8"/>
    <mergeCell ref="I7:I8"/>
    <mergeCell ref="J7:J8"/>
    <mergeCell ref="A45:A48"/>
    <mergeCell ref="B46:C46"/>
    <mergeCell ref="B48:C48"/>
    <mergeCell ref="A50:A57"/>
    <mergeCell ref="B51:C51"/>
    <mergeCell ref="B56:C56"/>
    <mergeCell ref="B30:C30"/>
    <mergeCell ref="B33:C33"/>
    <mergeCell ref="B34:B36"/>
    <mergeCell ref="B37:C37"/>
    <mergeCell ref="A39:A43"/>
    <mergeCell ref="B40:C40"/>
    <mergeCell ref="B41:B42"/>
    <mergeCell ref="B43:C43"/>
    <mergeCell ref="B84:C84"/>
    <mergeCell ref="B85:B86"/>
    <mergeCell ref="B88:C88"/>
    <mergeCell ref="B89:B91"/>
    <mergeCell ref="A92:A93"/>
    <mergeCell ref="B92:C92"/>
    <mergeCell ref="B59:C59"/>
    <mergeCell ref="B64:C64"/>
    <mergeCell ref="B68:C68"/>
    <mergeCell ref="C70:C71"/>
    <mergeCell ref="B78:C78"/>
    <mergeCell ref="B82:C82"/>
    <mergeCell ref="A107:A108"/>
    <mergeCell ref="B107:B108"/>
    <mergeCell ref="D107:D109"/>
    <mergeCell ref="D112:D113"/>
    <mergeCell ref="A114:A115"/>
    <mergeCell ref="B120:C120"/>
    <mergeCell ref="B94:C94"/>
    <mergeCell ref="B95:B96"/>
    <mergeCell ref="B97:C97"/>
    <mergeCell ref="B99:C99"/>
    <mergeCell ref="C100:C101"/>
    <mergeCell ref="A104:A105"/>
    <mergeCell ref="B105:C105"/>
    <mergeCell ref="B140:C140"/>
    <mergeCell ref="A142:A150"/>
    <mergeCell ref="B143:C143"/>
    <mergeCell ref="B144:B147"/>
    <mergeCell ref="B148:C148"/>
    <mergeCell ref="B149:B150"/>
    <mergeCell ref="B122:C122"/>
    <mergeCell ref="B124:C124"/>
    <mergeCell ref="A126:A127"/>
    <mergeCell ref="B126:B127"/>
    <mergeCell ref="B128:C128"/>
    <mergeCell ref="A130:A140"/>
    <mergeCell ref="B131:C131"/>
    <mergeCell ref="B132:B135"/>
    <mergeCell ref="B136:C136"/>
    <mergeCell ref="B138:C138"/>
    <mergeCell ref="B162:C162"/>
    <mergeCell ref="B164:C164"/>
    <mergeCell ref="B165:B169"/>
    <mergeCell ref="C165:C166"/>
    <mergeCell ref="B170:C170"/>
    <mergeCell ref="B172:C172"/>
    <mergeCell ref="A152:A158"/>
    <mergeCell ref="B153:C153"/>
    <mergeCell ref="B154:B156"/>
    <mergeCell ref="C154:C156"/>
    <mergeCell ref="B157:C157"/>
    <mergeCell ref="B160:C160"/>
    <mergeCell ref="A191:A199"/>
    <mergeCell ref="B192:C192"/>
    <mergeCell ref="B194:C194"/>
    <mergeCell ref="B195:B198"/>
    <mergeCell ref="B174:C174"/>
    <mergeCell ref="A176:A179"/>
    <mergeCell ref="B177:C177"/>
    <mergeCell ref="B179:C179"/>
    <mergeCell ref="B183:C183"/>
    <mergeCell ref="B186:C186"/>
    <mergeCell ref="D196:D197"/>
    <mergeCell ref="B199:C199"/>
    <mergeCell ref="B202:C202"/>
    <mergeCell ref="B205:C205"/>
    <mergeCell ref="B207:C207"/>
    <mergeCell ref="C208:C216"/>
    <mergeCell ref="B215:B217"/>
    <mergeCell ref="B188:C188"/>
    <mergeCell ref="B189:B191"/>
    <mergeCell ref="C190:C191"/>
    <mergeCell ref="C228:C229"/>
    <mergeCell ref="D231:D232"/>
    <mergeCell ref="B234:C234"/>
    <mergeCell ref="B236:C236"/>
    <mergeCell ref="B238:C238"/>
    <mergeCell ref="B240:C240"/>
    <mergeCell ref="A216:A217"/>
    <mergeCell ref="B219:C219"/>
    <mergeCell ref="B222:C222"/>
    <mergeCell ref="B223:B224"/>
    <mergeCell ref="B225:C225"/>
    <mergeCell ref="B227:C227"/>
    <mergeCell ref="D256:D258"/>
    <mergeCell ref="B262:C262"/>
    <mergeCell ref="D265:D266"/>
    <mergeCell ref="B272:C272"/>
    <mergeCell ref="B274:C274"/>
    <mergeCell ref="B277:C277"/>
    <mergeCell ref="D242:D243"/>
    <mergeCell ref="D244:D245"/>
    <mergeCell ref="D247:D249"/>
    <mergeCell ref="D250:D251"/>
    <mergeCell ref="D252:D253"/>
    <mergeCell ref="D254:D255"/>
    <mergeCell ref="B291:C291"/>
    <mergeCell ref="B294:C294"/>
    <mergeCell ref="B296:C296"/>
    <mergeCell ref="B298:C298"/>
    <mergeCell ref="B299:B300"/>
    <mergeCell ref="B301:C301"/>
    <mergeCell ref="B279:C279"/>
    <mergeCell ref="B282:C282"/>
    <mergeCell ref="B283:B285"/>
    <mergeCell ref="B286:C286"/>
    <mergeCell ref="B288:C288"/>
    <mergeCell ref="B289:B290"/>
    <mergeCell ref="B316:C316"/>
    <mergeCell ref="B318:C318"/>
    <mergeCell ref="B320:C320"/>
    <mergeCell ref="B322:C322"/>
    <mergeCell ref="B324:C324"/>
    <mergeCell ref="D325:D326"/>
    <mergeCell ref="B304:C304"/>
    <mergeCell ref="B306:C306"/>
    <mergeCell ref="B308:C308"/>
    <mergeCell ref="B310:C310"/>
    <mergeCell ref="B312:C312"/>
    <mergeCell ref="B313:C313"/>
    <mergeCell ref="B344:C344"/>
    <mergeCell ref="B351:C351"/>
    <mergeCell ref="B352:B353"/>
    <mergeCell ref="B354:C354"/>
    <mergeCell ref="B356:C356"/>
    <mergeCell ref="B358:C358"/>
    <mergeCell ref="D328:D329"/>
    <mergeCell ref="B330:C330"/>
    <mergeCell ref="D333:D334"/>
    <mergeCell ref="D335:D336"/>
    <mergeCell ref="B338:C338"/>
    <mergeCell ref="B339:B343"/>
    <mergeCell ref="B372:B373"/>
    <mergeCell ref="D374:D375"/>
    <mergeCell ref="D378:D380"/>
    <mergeCell ref="B384:C384"/>
    <mergeCell ref="B386:C386"/>
    <mergeCell ref="B387:B391"/>
    <mergeCell ref="C387:C391"/>
    <mergeCell ref="B360:C360"/>
    <mergeCell ref="B361:B366"/>
    <mergeCell ref="C363:C365"/>
    <mergeCell ref="B367:C367"/>
    <mergeCell ref="B369:C369"/>
    <mergeCell ref="B370:B371"/>
    <mergeCell ref="C370:C371"/>
    <mergeCell ref="B409:C409"/>
    <mergeCell ref="B410:B411"/>
    <mergeCell ref="B412:C412"/>
    <mergeCell ref="B417:C417"/>
    <mergeCell ref="B418:C418"/>
    <mergeCell ref="B421:C421"/>
    <mergeCell ref="B393:C393"/>
    <mergeCell ref="B395:C395"/>
    <mergeCell ref="B397:C397"/>
    <mergeCell ref="B399:C399"/>
    <mergeCell ref="B400:B404"/>
    <mergeCell ref="B405:C405"/>
    <mergeCell ref="B434:C434"/>
    <mergeCell ref="B435:B436"/>
    <mergeCell ref="B437:C437"/>
    <mergeCell ref="B439:C439"/>
    <mergeCell ref="B440:B441"/>
    <mergeCell ref="B442:C442"/>
    <mergeCell ref="B422:C422"/>
    <mergeCell ref="B425:C425"/>
    <mergeCell ref="B426:C426"/>
    <mergeCell ref="B427:B428"/>
    <mergeCell ref="B430:C430"/>
    <mergeCell ref="B431:C431"/>
    <mergeCell ref="B461:C461"/>
    <mergeCell ref="B464:C464"/>
    <mergeCell ref="B466:C466"/>
    <mergeCell ref="B467:B474"/>
    <mergeCell ref="C467:C472"/>
    <mergeCell ref="B475:C475"/>
    <mergeCell ref="B444:C444"/>
    <mergeCell ref="B446:C446"/>
    <mergeCell ref="B448:C448"/>
    <mergeCell ref="B450:C450"/>
    <mergeCell ref="B452:C452"/>
    <mergeCell ref="B457:C457"/>
    <mergeCell ref="B491:C491"/>
    <mergeCell ref="B492:B494"/>
    <mergeCell ref="B497:C497"/>
    <mergeCell ref="B498:B499"/>
    <mergeCell ref="B500:C500"/>
    <mergeCell ref="B502:C502"/>
    <mergeCell ref="B477:C477"/>
    <mergeCell ref="D478:D479"/>
    <mergeCell ref="D480:D481"/>
    <mergeCell ref="D482:D484"/>
    <mergeCell ref="D485:D486"/>
    <mergeCell ref="C488:C489"/>
    <mergeCell ref="D524:D526"/>
    <mergeCell ref="D527:D528"/>
    <mergeCell ref="B529:C529"/>
    <mergeCell ref="A532:A535"/>
    <mergeCell ref="B533:C533"/>
    <mergeCell ref="B535:C535"/>
    <mergeCell ref="B504:C504"/>
    <mergeCell ref="B506:C506"/>
    <mergeCell ref="B507:B515"/>
    <mergeCell ref="C507:C508"/>
    <mergeCell ref="B516:C516"/>
    <mergeCell ref="B518:C518"/>
    <mergeCell ref="B555:C555"/>
    <mergeCell ref="B559:C559"/>
    <mergeCell ref="B561:C561"/>
    <mergeCell ref="B562:B566"/>
    <mergeCell ref="B567:C567"/>
    <mergeCell ref="B569:C569"/>
    <mergeCell ref="B538:C538"/>
    <mergeCell ref="B542:C542"/>
    <mergeCell ref="B544:C544"/>
    <mergeCell ref="B546:C546"/>
    <mergeCell ref="B548:C548"/>
    <mergeCell ref="B552:C552"/>
    <mergeCell ref="A578:A583"/>
    <mergeCell ref="B579:C579"/>
    <mergeCell ref="B580:B582"/>
    <mergeCell ref="B583:C583"/>
    <mergeCell ref="B586:C586"/>
    <mergeCell ref="B587:B589"/>
    <mergeCell ref="B570:B572"/>
    <mergeCell ref="C570:C572"/>
    <mergeCell ref="B573:C573"/>
    <mergeCell ref="A574:A577"/>
    <mergeCell ref="B575:C575"/>
    <mergeCell ref="B577:C577"/>
    <mergeCell ref="B604:C604"/>
    <mergeCell ref="B605:B607"/>
    <mergeCell ref="B608:C608"/>
    <mergeCell ref="B613:C613"/>
    <mergeCell ref="B615:C615"/>
    <mergeCell ref="B618:C618"/>
    <mergeCell ref="B590:C590"/>
    <mergeCell ref="B592:C592"/>
    <mergeCell ref="B593:B595"/>
    <mergeCell ref="B596:C596"/>
    <mergeCell ref="B599:C599"/>
    <mergeCell ref="B601:C601"/>
    <mergeCell ref="B629:B630"/>
    <mergeCell ref="B632:C632"/>
    <mergeCell ref="B634:C634"/>
    <mergeCell ref="B637:C637"/>
    <mergeCell ref="B640:C640"/>
    <mergeCell ref="B642:C642"/>
    <mergeCell ref="B619:B620"/>
    <mergeCell ref="B621:C621"/>
    <mergeCell ref="A623:A624"/>
    <mergeCell ref="B624:C624"/>
    <mergeCell ref="B625:B627"/>
    <mergeCell ref="B628:C628"/>
    <mergeCell ref="A656:C656"/>
    <mergeCell ref="A658:C658"/>
    <mergeCell ref="A659:C659"/>
    <mergeCell ref="B644:C644"/>
    <mergeCell ref="B647:C647"/>
    <mergeCell ref="B648:B650"/>
    <mergeCell ref="B651:C651"/>
    <mergeCell ref="A652:C652"/>
    <mergeCell ref="A655:C65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Strona &amp;P z &amp;N</oddFooter>
  </headerFooter>
  <rowBreaks count="8" manualBreakCount="8">
    <brk id="48" max="11" man="1"/>
    <brk id="118" max="11" man="1"/>
    <brk id="162" max="11" man="1"/>
    <brk id="225" max="11" man="1"/>
    <brk id="318" max="11" man="1"/>
    <brk id="358" max="11" man="1"/>
    <brk id="464" max="11" man="1"/>
    <brk id="630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Q534"/>
  <sheetViews>
    <sheetView view="pageBreakPreview" topLeftCell="A7" zoomScaleNormal="100" zoomScaleSheetLayoutView="100" workbookViewId="0">
      <selection activeCell="Q5" sqref="Q5"/>
    </sheetView>
  </sheetViews>
  <sheetFormatPr defaultRowHeight="12.75"/>
  <cols>
    <col min="1" max="1" width="9.140625" style="118"/>
    <col min="2" max="2" width="11" style="118" customWidth="1"/>
    <col min="3" max="3" width="11.140625" style="118" customWidth="1"/>
    <col min="4" max="4" width="9.140625" style="118"/>
    <col min="5" max="5" width="10.5703125" style="118" customWidth="1"/>
    <col min="6" max="6" width="11.42578125" style="118" customWidth="1"/>
    <col min="7" max="7" width="12.85546875" style="118" customWidth="1"/>
    <col min="8" max="8" width="18.85546875" style="118" customWidth="1"/>
    <col min="9" max="9" width="12" style="118" customWidth="1"/>
    <col min="10" max="10" width="13" style="118" customWidth="1"/>
    <col min="11" max="11" width="15.140625" style="118" customWidth="1"/>
    <col min="12" max="257" width="9.140625" style="118"/>
    <col min="258" max="258" width="11" style="118" customWidth="1"/>
    <col min="259" max="259" width="11.140625" style="118" customWidth="1"/>
    <col min="260" max="260" width="9.140625" style="118"/>
    <col min="261" max="261" width="10.5703125" style="118" customWidth="1"/>
    <col min="262" max="262" width="11.42578125" style="118" customWidth="1"/>
    <col min="263" max="263" width="12.85546875" style="118" customWidth="1"/>
    <col min="264" max="264" width="18.85546875" style="118" customWidth="1"/>
    <col min="265" max="265" width="12" style="118" customWidth="1"/>
    <col min="266" max="266" width="13" style="118" customWidth="1"/>
    <col min="267" max="267" width="15.140625" style="118" customWidth="1"/>
    <col min="268" max="513" width="9.140625" style="118"/>
    <col min="514" max="514" width="11" style="118" customWidth="1"/>
    <col min="515" max="515" width="11.140625" style="118" customWidth="1"/>
    <col min="516" max="516" width="9.140625" style="118"/>
    <col min="517" max="517" width="10.5703125" style="118" customWidth="1"/>
    <col min="518" max="518" width="11.42578125" style="118" customWidth="1"/>
    <col min="519" max="519" width="12.85546875" style="118" customWidth="1"/>
    <col min="520" max="520" width="18.85546875" style="118" customWidth="1"/>
    <col min="521" max="521" width="12" style="118" customWidth="1"/>
    <col min="522" max="522" width="13" style="118" customWidth="1"/>
    <col min="523" max="523" width="15.140625" style="118" customWidth="1"/>
    <col min="524" max="769" width="9.140625" style="118"/>
    <col min="770" max="770" width="11" style="118" customWidth="1"/>
    <col min="771" max="771" width="11.140625" style="118" customWidth="1"/>
    <col min="772" max="772" width="9.140625" style="118"/>
    <col min="773" max="773" width="10.5703125" style="118" customWidth="1"/>
    <col min="774" max="774" width="11.42578125" style="118" customWidth="1"/>
    <col min="775" max="775" width="12.85546875" style="118" customWidth="1"/>
    <col min="776" max="776" width="18.85546875" style="118" customWidth="1"/>
    <col min="777" max="777" width="12" style="118" customWidth="1"/>
    <col min="778" max="778" width="13" style="118" customWidth="1"/>
    <col min="779" max="779" width="15.140625" style="118" customWidth="1"/>
    <col min="780" max="1025" width="9.140625" style="118"/>
    <col min="1026" max="1026" width="11" style="118" customWidth="1"/>
    <col min="1027" max="1027" width="11.140625" style="118" customWidth="1"/>
    <col min="1028" max="1028" width="9.140625" style="118"/>
    <col min="1029" max="1029" width="10.5703125" style="118" customWidth="1"/>
    <col min="1030" max="1030" width="11.42578125" style="118" customWidth="1"/>
    <col min="1031" max="1031" width="12.85546875" style="118" customWidth="1"/>
    <col min="1032" max="1032" width="18.85546875" style="118" customWidth="1"/>
    <col min="1033" max="1033" width="12" style="118" customWidth="1"/>
    <col min="1034" max="1034" width="13" style="118" customWidth="1"/>
    <col min="1035" max="1035" width="15.140625" style="118" customWidth="1"/>
    <col min="1036" max="1281" width="9.140625" style="118"/>
    <col min="1282" max="1282" width="11" style="118" customWidth="1"/>
    <col min="1283" max="1283" width="11.140625" style="118" customWidth="1"/>
    <col min="1284" max="1284" width="9.140625" style="118"/>
    <col min="1285" max="1285" width="10.5703125" style="118" customWidth="1"/>
    <col min="1286" max="1286" width="11.42578125" style="118" customWidth="1"/>
    <col min="1287" max="1287" width="12.85546875" style="118" customWidth="1"/>
    <col min="1288" max="1288" width="18.85546875" style="118" customWidth="1"/>
    <col min="1289" max="1289" width="12" style="118" customWidth="1"/>
    <col min="1290" max="1290" width="13" style="118" customWidth="1"/>
    <col min="1291" max="1291" width="15.140625" style="118" customWidth="1"/>
    <col min="1292" max="1537" width="9.140625" style="118"/>
    <col min="1538" max="1538" width="11" style="118" customWidth="1"/>
    <col min="1539" max="1539" width="11.140625" style="118" customWidth="1"/>
    <col min="1540" max="1540" width="9.140625" style="118"/>
    <col min="1541" max="1541" width="10.5703125" style="118" customWidth="1"/>
    <col min="1542" max="1542" width="11.42578125" style="118" customWidth="1"/>
    <col min="1543" max="1543" width="12.85546875" style="118" customWidth="1"/>
    <col min="1544" max="1544" width="18.85546875" style="118" customWidth="1"/>
    <col min="1545" max="1545" width="12" style="118" customWidth="1"/>
    <col min="1546" max="1546" width="13" style="118" customWidth="1"/>
    <col min="1547" max="1547" width="15.140625" style="118" customWidth="1"/>
    <col min="1548" max="1793" width="9.140625" style="118"/>
    <col min="1794" max="1794" width="11" style="118" customWidth="1"/>
    <col min="1795" max="1795" width="11.140625" style="118" customWidth="1"/>
    <col min="1796" max="1796" width="9.140625" style="118"/>
    <col min="1797" max="1797" width="10.5703125" style="118" customWidth="1"/>
    <col min="1798" max="1798" width="11.42578125" style="118" customWidth="1"/>
    <col min="1799" max="1799" width="12.85546875" style="118" customWidth="1"/>
    <col min="1800" max="1800" width="18.85546875" style="118" customWidth="1"/>
    <col min="1801" max="1801" width="12" style="118" customWidth="1"/>
    <col min="1802" max="1802" width="13" style="118" customWidth="1"/>
    <col min="1803" max="1803" width="15.140625" style="118" customWidth="1"/>
    <col min="1804" max="2049" width="9.140625" style="118"/>
    <col min="2050" max="2050" width="11" style="118" customWidth="1"/>
    <col min="2051" max="2051" width="11.140625" style="118" customWidth="1"/>
    <col min="2052" max="2052" width="9.140625" style="118"/>
    <col min="2053" max="2053" width="10.5703125" style="118" customWidth="1"/>
    <col min="2054" max="2054" width="11.42578125" style="118" customWidth="1"/>
    <col min="2055" max="2055" width="12.85546875" style="118" customWidth="1"/>
    <col min="2056" max="2056" width="18.85546875" style="118" customWidth="1"/>
    <col min="2057" max="2057" width="12" style="118" customWidth="1"/>
    <col min="2058" max="2058" width="13" style="118" customWidth="1"/>
    <col min="2059" max="2059" width="15.140625" style="118" customWidth="1"/>
    <col min="2060" max="2305" width="9.140625" style="118"/>
    <col min="2306" max="2306" width="11" style="118" customWidth="1"/>
    <col min="2307" max="2307" width="11.140625" style="118" customWidth="1"/>
    <col min="2308" max="2308" width="9.140625" style="118"/>
    <col min="2309" max="2309" width="10.5703125" style="118" customWidth="1"/>
    <col min="2310" max="2310" width="11.42578125" style="118" customWidth="1"/>
    <col min="2311" max="2311" width="12.85546875" style="118" customWidth="1"/>
    <col min="2312" max="2312" width="18.85546875" style="118" customWidth="1"/>
    <col min="2313" max="2313" width="12" style="118" customWidth="1"/>
    <col min="2314" max="2314" width="13" style="118" customWidth="1"/>
    <col min="2315" max="2315" width="15.140625" style="118" customWidth="1"/>
    <col min="2316" max="2561" width="9.140625" style="118"/>
    <col min="2562" max="2562" width="11" style="118" customWidth="1"/>
    <col min="2563" max="2563" width="11.140625" style="118" customWidth="1"/>
    <col min="2564" max="2564" width="9.140625" style="118"/>
    <col min="2565" max="2565" width="10.5703125" style="118" customWidth="1"/>
    <col min="2566" max="2566" width="11.42578125" style="118" customWidth="1"/>
    <col min="2567" max="2567" width="12.85546875" style="118" customWidth="1"/>
    <col min="2568" max="2568" width="18.85546875" style="118" customWidth="1"/>
    <col min="2569" max="2569" width="12" style="118" customWidth="1"/>
    <col min="2570" max="2570" width="13" style="118" customWidth="1"/>
    <col min="2571" max="2571" width="15.140625" style="118" customWidth="1"/>
    <col min="2572" max="2817" width="9.140625" style="118"/>
    <col min="2818" max="2818" width="11" style="118" customWidth="1"/>
    <col min="2819" max="2819" width="11.140625" style="118" customWidth="1"/>
    <col min="2820" max="2820" width="9.140625" style="118"/>
    <col min="2821" max="2821" width="10.5703125" style="118" customWidth="1"/>
    <col min="2822" max="2822" width="11.42578125" style="118" customWidth="1"/>
    <col min="2823" max="2823" width="12.85546875" style="118" customWidth="1"/>
    <col min="2824" max="2824" width="18.85546875" style="118" customWidth="1"/>
    <col min="2825" max="2825" width="12" style="118" customWidth="1"/>
    <col min="2826" max="2826" width="13" style="118" customWidth="1"/>
    <col min="2827" max="2827" width="15.140625" style="118" customWidth="1"/>
    <col min="2828" max="3073" width="9.140625" style="118"/>
    <col min="3074" max="3074" width="11" style="118" customWidth="1"/>
    <col min="3075" max="3075" width="11.140625" style="118" customWidth="1"/>
    <col min="3076" max="3076" width="9.140625" style="118"/>
    <col min="3077" max="3077" width="10.5703125" style="118" customWidth="1"/>
    <col min="3078" max="3078" width="11.42578125" style="118" customWidth="1"/>
    <col min="3079" max="3079" width="12.85546875" style="118" customWidth="1"/>
    <col min="3080" max="3080" width="18.85546875" style="118" customWidth="1"/>
    <col min="3081" max="3081" width="12" style="118" customWidth="1"/>
    <col min="3082" max="3082" width="13" style="118" customWidth="1"/>
    <col min="3083" max="3083" width="15.140625" style="118" customWidth="1"/>
    <col min="3084" max="3329" width="9.140625" style="118"/>
    <col min="3330" max="3330" width="11" style="118" customWidth="1"/>
    <col min="3331" max="3331" width="11.140625" style="118" customWidth="1"/>
    <col min="3332" max="3332" width="9.140625" style="118"/>
    <col min="3333" max="3333" width="10.5703125" style="118" customWidth="1"/>
    <col min="3334" max="3334" width="11.42578125" style="118" customWidth="1"/>
    <col min="3335" max="3335" width="12.85546875" style="118" customWidth="1"/>
    <col min="3336" max="3336" width="18.85546875" style="118" customWidth="1"/>
    <col min="3337" max="3337" width="12" style="118" customWidth="1"/>
    <col min="3338" max="3338" width="13" style="118" customWidth="1"/>
    <col min="3339" max="3339" width="15.140625" style="118" customWidth="1"/>
    <col min="3340" max="3585" width="9.140625" style="118"/>
    <col min="3586" max="3586" width="11" style="118" customWidth="1"/>
    <col min="3587" max="3587" width="11.140625" style="118" customWidth="1"/>
    <col min="3588" max="3588" width="9.140625" style="118"/>
    <col min="3589" max="3589" width="10.5703125" style="118" customWidth="1"/>
    <col min="3590" max="3590" width="11.42578125" style="118" customWidth="1"/>
    <col min="3591" max="3591" width="12.85546875" style="118" customWidth="1"/>
    <col min="3592" max="3592" width="18.85546875" style="118" customWidth="1"/>
    <col min="3593" max="3593" width="12" style="118" customWidth="1"/>
    <col min="3594" max="3594" width="13" style="118" customWidth="1"/>
    <col min="3595" max="3595" width="15.140625" style="118" customWidth="1"/>
    <col min="3596" max="3841" width="9.140625" style="118"/>
    <col min="3842" max="3842" width="11" style="118" customWidth="1"/>
    <col min="3843" max="3843" width="11.140625" style="118" customWidth="1"/>
    <col min="3844" max="3844" width="9.140625" style="118"/>
    <col min="3845" max="3845" width="10.5703125" style="118" customWidth="1"/>
    <col min="3846" max="3846" width="11.42578125" style="118" customWidth="1"/>
    <col min="3847" max="3847" width="12.85546875" style="118" customWidth="1"/>
    <col min="3848" max="3848" width="18.85546875" style="118" customWidth="1"/>
    <col min="3849" max="3849" width="12" style="118" customWidth="1"/>
    <col min="3850" max="3850" width="13" style="118" customWidth="1"/>
    <col min="3851" max="3851" width="15.140625" style="118" customWidth="1"/>
    <col min="3852" max="4097" width="9.140625" style="118"/>
    <col min="4098" max="4098" width="11" style="118" customWidth="1"/>
    <col min="4099" max="4099" width="11.140625" style="118" customWidth="1"/>
    <col min="4100" max="4100" width="9.140625" style="118"/>
    <col min="4101" max="4101" width="10.5703125" style="118" customWidth="1"/>
    <col min="4102" max="4102" width="11.42578125" style="118" customWidth="1"/>
    <col min="4103" max="4103" width="12.85546875" style="118" customWidth="1"/>
    <col min="4104" max="4104" width="18.85546875" style="118" customWidth="1"/>
    <col min="4105" max="4105" width="12" style="118" customWidth="1"/>
    <col min="4106" max="4106" width="13" style="118" customWidth="1"/>
    <col min="4107" max="4107" width="15.140625" style="118" customWidth="1"/>
    <col min="4108" max="4353" width="9.140625" style="118"/>
    <col min="4354" max="4354" width="11" style="118" customWidth="1"/>
    <col min="4355" max="4355" width="11.140625" style="118" customWidth="1"/>
    <col min="4356" max="4356" width="9.140625" style="118"/>
    <col min="4357" max="4357" width="10.5703125" style="118" customWidth="1"/>
    <col min="4358" max="4358" width="11.42578125" style="118" customWidth="1"/>
    <col min="4359" max="4359" width="12.85546875" style="118" customWidth="1"/>
    <col min="4360" max="4360" width="18.85546875" style="118" customWidth="1"/>
    <col min="4361" max="4361" width="12" style="118" customWidth="1"/>
    <col min="4362" max="4362" width="13" style="118" customWidth="1"/>
    <col min="4363" max="4363" width="15.140625" style="118" customWidth="1"/>
    <col min="4364" max="4609" width="9.140625" style="118"/>
    <col min="4610" max="4610" width="11" style="118" customWidth="1"/>
    <col min="4611" max="4611" width="11.140625" style="118" customWidth="1"/>
    <col min="4612" max="4612" width="9.140625" style="118"/>
    <col min="4613" max="4613" width="10.5703125" style="118" customWidth="1"/>
    <col min="4614" max="4614" width="11.42578125" style="118" customWidth="1"/>
    <col min="4615" max="4615" width="12.85546875" style="118" customWidth="1"/>
    <col min="4616" max="4616" width="18.85546875" style="118" customWidth="1"/>
    <col min="4617" max="4617" width="12" style="118" customWidth="1"/>
    <col min="4618" max="4618" width="13" style="118" customWidth="1"/>
    <col min="4619" max="4619" width="15.140625" style="118" customWidth="1"/>
    <col min="4620" max="4865" width="9.140625" style="118"/>
    <col min="4866" max="4866" width="11" style="118" customWidth="1"/>
    <col min="4867" max="4867" width="11.140625" style="118" customWidth="1"/>
    <col min="4868" max="4868" width="9.140625" style="118"/>
    <col min="4869" max="4869" width="10.5703125" style="118" customWidth="1"/>
    <col min="4870" max="4870" width="11.42578125" style="118" customWidth="1"/>
    <col min="4871" max="4871" width="12.85546875" style="118" customWidth="1"/>
    <col min="4872" max="4872" width="18.85546875" style="118" customWidth="1"/>
    <col min="4873" max="4873" width="12" style="118" customWidth="1"/>
    <col min="4874" max="4874" width="13" style="118" customWidth="1"/>
    <col min="4875" max="4875" width="15.140625" style="118" customWidth="1"/>
    <col min="4876" max="5121" width="9.140625" style="118"/>
    <col min="5122" max="5122" width="11" style="118" customWidth="1"/>
    <col min="5123" max="5123" width="11.140625" style="118" customWidth="1"/>
    <col min="5124" max="5124" width="9.140625" style="118"/>
    <col min="5125" max="5125" width="10.5703125" style="118" customWidth="1"/>
    <col min="5126" max="5126" width="11.42578125" style="118" customWidth="1"/>
    <col min="5127" max="5127" width="12.85546875" style="118" customWidth="1"/>
    <col min="5128" max="5128" width="18.85546875" style="118" customWidth="1"/>
    <col min="5129" max="5129" width="12" style="118" customWidth="1"/>
    <col min="5130" max="5130" width="13" style="118" customWidth="1"/>
    <col min="5131" max="5131" width="15.140625" style="118" customWidth="1"/>
    <col min="5132" max="5377" width="9.140625" style="118"/>
    <col min="5378" max="5378" width="11" style="118" customWidth="1"/>
    <col min="5379" max="5379" width="11.140625" style="118" customWidth="1"/>
    <col min="5380" max="5380" width="9.140625" style="118"/>
    <col min="5381" max="5381" width="10.5703125" style="118" customWidth="1"/>
    <col min="5382" max="5382" width="11.42578125" style="118" customWidth="1"/>
    <col min="5383" max="5383" width="12.85546875" style="118" customWidth="1"/>
    <col min="5384" max="5384" width="18.85546875" style="118" customWidth="1"/>
    <col min="5385" max="5385" width="12" style="118" customWidth="1"/>
    <col min="5386" max="5386" width="13" style="118" customWidth="1"/>
    <col min="5387" max="5387" width="15.140625" style="118" customWidth="1"/>
    <col min="5388" max="5633" width="9.140625" style="118"/>
    <col min="5634" max="5634" width="11" style="118" customWidth="1"/>
    <col min="5635" max="5635" width="11.140625" style="118" customWidth="1"/>
    <col min="5636" max="5636" width="9.140625" style="118"/>
    <col min="5637" max="5637" width="10.5703125" style="118" customWidth="1"/>
    <col min="5638" max="5638" width="11.42578125" style="118" customWidth="1"/>
    <col min="5639" max="5639" width="12.85546875" style="118" customWidth="1"/>
    <col min="5640" max="5640" width="18.85546875" style="118" customWidth="1"/>
    <col min="5641" max="5641" width="12" style="118" customWidth="1"/>
    <col min="5642" max="5642" width="13" style="118" customWidth="1"/>
    <col min="5643" max="5643" width="15.140625" style="118" customWidth="1"/>
    <col min="5644" max="5889" width="9.140625" style="118"/>
    <col min="5890" max="5890" width="11" style="118" customWidth="1"/>
    <col min="5891" max="5891" width="11.140625" style="118" customWidth="1"/>
    <col min="5892" max="5892" width="9.140625" style="118"/>
    <col min="5893" max="5893" width="10.5703125" style="118" customWidth="1"/>
    <col min="5894" max="5894" width="11.42578125" style="118" customWidth="1"/>
    <col min="5895" max="5895" width="12.85546875" style="118" customWidth="1"/>
    <col min="5896" max="5896" width="18.85546875" style="118" customWidth="1"/>
    <col min="5897" max="5897" width="12" style="118" customWidth="1"/>
    <col min="5898" max="5898" width="13" style="118" customWidth="1"/>
    <col min="5899" max="5899" width="15.140625" style="118" customWidth="1"/>
    <col min="5900" max="6145" width="9.140625" style="118"/>
    <col min="6146" max="6146" width="11" style="118" customWidth="1"/>
    <col min="6147" max="6147" width="11.140625" style="118" customWidth="1"/>
    <col min="6148" max="6148" width="9.140625" style="118"/>
    <col min="6149" max="6149" width="10.5703125" style="118" customWidth="1"/>
    <col min="6150" max="6150" width="11.42578125" style="118" customWidth="1"/>
    <col min="6151" max="6151" width="12.85546875" style="118" customWidth="1"/>
    <col min="6152" max="6152" width="18.85546875" style="118" customWidth="1"/>
    <col min="6153" max="6153" width="12" style="118" customWidth="1"/>
    <col min="6154" max="6154" width="13" style="118" customWidth="1"/>
    <col min="6155" max="6155" width="15.140625" style="118" customWidth="1"/>
    <col min="6156" max="6401" width="9.140625" style="118"/>
    <col min="6402" max="6402" width="11" style="118" customWidth="1"/>
    <col min="6403" max="6403" width="11.140625" style="118" customWidth="1"/>
    <col min="6404" max="6404" width="9.140625" style="118"/>
    <col min="6405" max="6405" width="10.5703125" style="118" customWidth="1"/>
    <col min="6406" max="6406" width="11.42578125" style="118" customWidth="1"/>
    <col min="6407" max="6407" width="12.85546875" style="118" customWidth="1"/>
    <col min="6408" max="6408" width="18.85546875" style="118" customWidth="1"/>
    <col min="6409" max="6409" width="12" style="118" customWidth="1"/>
    <col min="6410" max="6410" width="13" style="118" customWidth="1"/>
    <col min="6411" max="6411" width="15.140625" style="118" customWidth="1"/>
    <col min="6412" max="6657" width="9.140625" style="118"/>
    <col min="6658" max="6658" width="11" style="118" customWidth="1"/>
    <col min="6659" max="6659" width="11.140625" style="118" customWidth="1"/>
    <col min="6660" max="6660" width="9.140625" style="118"/>
    <col min="6661" max="6661" width="10.5703125" style="118" customWidth="1"/>
    <col min="6662" max="6662" width="11.42578125" style="118" customWidth="1"/>
    <col min="6663" max="6663" width="12.85546875" style="118" customWidth="1"/>
    <col min="6664" max="6664" width="18.85546875" style="118" customWidth="1"/>
    <col min="6665" max="6665" width="12" style="118" customWidth="1"/>
    <col min="6666" max="6666" width="13" style="118" customWidth="1"/>
    <col min="6667" max="6667" width="15.140625" style="118" customWidth="1"/>
    <col min="6668" max="6913" width="9.140625" style="118"/>
    <col min="6914" max="6914" width="11" style="118" customWidth="1"/>
    <col min="6915" max="6915" width="11.140625" style="118" customWidth="1"/>
    <col min="6916" max="6916" width="9.140625" style="118"/>
    <col min="6917" max="6917" width="10.5703125" style="118" customWidth="1"/>
    <col min="6918" max="6918" width="11.42578125" style="118" customWidth="1"/>
    <col min="6919" max="6919" width="12.85546875" style="118" customWidth="1"/>
    <col min="6920" max="6920" width="18.85546875" style="118" customWidth="1"/>
    <col min="6921" max="6921" width="12" style="118" customWidth="1"/>
    <col min="6922" max="6922" width="13" style="118" customWidth="1"/>
    <col min="6923" max="6923" width="15.140625" style="118" customWidth="1"/>
    <col min="6924" max="7169" width="9.140625" style="118"/>
    <col min="7170" max="7170" width="11" style="118" customWidth="1"/>
    <col min="7171" max="7171" width="11.140625" style="118" customWidth="1"/>
    <col min="7172" max="7172" width="9.140625" style="118"/>
    <col min="7173" max="7173" width="10.5703125" style="118" customWidth="1"/>
    <col min="7174" max="7174" width="11.42578125" style="118" customWidth="1"/>
    <col min="7175" max="7175" width="12.85546875" style="118" customWidth="1"/>
    <col min="7176" max="7176" width="18.85546875" style="118" customWidth="1"/>
    <col min="7177" max="7177" width="12" style="118" customWidth="1"/>
    <col min="7178" max="7178" width="13" style="118" customWidth="1"/>
    <col min="7179" max="7179" width="15.140625" style="118" customWidth="1"/>
    <col min="7180" max="7425" width="9.140625" style="118"/>
    <col min="7426" max="7426" width="11" style="118" customWidth="1"/>
    <col min="7427" max="7427" width="11.140625" style="118" customWidth="1"/>
    <col min="7428" max="7428" width="9.140625" style="118"/>
    <col min="7429" max="7429" width="10.5703125" style="118" customWidth="1"/>
    <col min="7430" max="7430" width="11.42578125" style="118" customWidth="1"/>
    <col min="7431" max="7431" width="12.85546875" style="118" customWidth="1"/>
    <col min="7432" max="7432" width="18.85546875" style="118" customWidth="1"/>
    <col min="7433" max="7433" width="12" style="118" customWidth="1"/>
    <col min="7434" max="7434" width="13" style="118" customWidth="1"/>
    <col min="7435" max="7435" width="15.140625" style="118" customWidth="1"/>
    <col min="7436" max="7681" width="9.140625" style="118"/>
    <col min="7682" max="7682" width="11" style="118" customWidth="1"/>
    <col min="7683" max="7683" width="11.140625" style="118" customWidth="1"/>
    <col min="7684" max="7684" width="9.140625" style="118"/>
    <col min="7685" max="7685" width="10.5703125" style="118" customWidth="1"/>
    <col min="7686" max="7686" width="11.42578125" style="118" customWidth="1"/>
    <col min="7687" max="7687" width="12.85546875" style="118" customWidth="1"/>
    <col min="7688" max="7688" width="18.85546875" style="118" customWidth="1"/>
    <col min="7689" max="7689" width="12" style="118" customWidth="1"/>
    <col min="7690" max="7690" width="13" style="118" customWidth="1"/>
    <col min="7691" max="7691" width="15.140625" style="118" customWidth="1"/>
    <col min="7692" max="7937" width="9.140625" style="118"/>
    <col min="7938" max="7938" width="11" style="118" customWidth="1"/>
    <col min="7939" max="7939" width="11.140625" style="118" customWidth="1"/>
    <col min="7940" max="7940" width="9.140625" style="118"/>
    <col min="7941" max="7941" width="10.5703125" style="118" customWidth="1"/>
    <col min="7942" max="7942" width="11.42578125" style="118" customWidth="1"/>
    <col min="7943" max="7943" width="12.85546875" style="118" customWidth="1"/>
    <col min="7944" max="7944" width="18.85546875" style="118" customWidth="1"/>
    <col min="7945" max="7945" width="12" style="118" customWidth="1"/>
    <col min="7946" max="7946" width="13" style="118" customWidth="1"/>
    <col min="7947" max="7947" width="15.140625" style="118" customWidth="1"/>
    <col min="7948" max="8193" width="9.140625" style="118"/>
    <col min="8194" max="8194" width="11" style="118" customWidth="1"/>
    <col min="8195" max="8195" width="11.140625" style="118" customWidth="1"/>
    <col min="8196" max="8196" width="9.140625" style="118"/>
    <col min="8197" max="8197" width="10.5703125" style="118" customWidth="1"/>
    <col min="8198" max="8198" width="11.42578125" style="118" customWidth="1"/>
    <col min="8199" max="8199" width="12.85546875" style="118" customWidth="1"/>
    <col min="8200" max="8200" width="18.85546875" style="118" customWidth="1"/>
    <col min="8201" max="8201" width="12" style="118" customWidth="1"/>
    <col min="8202" max="8202" width="13" style="118" customWidth="1"/>
    <col min="8203" max="8203" width="15.140625" style="118" customWidth="1"/>
    <col min="8204" max="8449" width="9.140625" style="118"/>
    <col min="8450" max="8450" width="11" style="118" customWidth="1"/>
    <col min="8451" max="8451" width="11.140625" style="118" customWidth="1"/>
    <col min="8452" max="8452" width="9.140625" style="118"/>
    <col min="8453" max="8453" width="10.5703125" style="118" customWidth="1"/>
    <col min="8454" max="8454" width="11.42578125" style="118" customWidth="1"/>
    <col min="8455" max="8455" width="12.85546875" style="118" customWidth="1"/>
    <col min="8456" max="8456" width="18.85546875" style="118" customWidth="1"/>
    <col min="8457" max="8457" width="12" style="118" customWidth="1"/>
    <col min="8458" max="8458" width="13" style="118" customWidth="1"/>
    <col min="8459" max="8459" width="15.140625" style="118" customWidth="1"/>
    <col min="8460" max="8705" width="9.140625" style="118"/>
    <col min="8706" max="8706" width="11" style="118" customWidth="1"/>
    <col min="8707" max="8707" width="11.140625" style="118" customWidth="1"/>
    <col min="8708" max="8708" width="9.140625" style="118"/>
    <col min="8709" max="8709" width="10.5703125" style="118" customWidth="1"/>
    <col min="8710" max="8710" width="11.42578125" style="118" customWidth="1"/>
    <col min="8711" max="8711" width="12.85546875" style="118" customWidth="1"/>
    <col min="8712" max="8712" width="18.85546875" style="118" customWidth="1"/>
    <col min="8713" max="8713" width="12" style="118" customWidth="1"/>
    <col min="8714" max="8714" width="13" style="118" customWidth="1"/>
    <col min="8715" max="8715" width="15.140625" style="118" customWidth="1"/>
    <col min="8716" max="8961" width="9.140625" style="118"/>
    <col min="8962" max="8962" width="11" style="118" customWidth="1"/>
    <col min="8963" max="8963" width="11.140625" style="118" customWidth="1"/>
    <col min="8964" max="8964" width="9.140625" style="118"/>
    <col min="8965" max="8965" width="10.5703125" style="118" customWidth="1"/>
    <col min="8966" max="8966" width="11.42578125" style="118" customWidth="1"/>
    <col min="8967" max="8967" width="12.85546875" style="118" customWidth="1"/>
    <col min="8968" max="8968" width="18.85546875" style="118" customWidth="1"/>
    <col min="8969" max="8969" width="12" style="118" customWidth="1"/>
    <col min="8970" max="8970" width="13" style="118" customWidth="1"/>
    <col min="8971" max="8971" width="15.140625" style="118" customWidth="1"/>
    <col min="8972" max="9217" width="9.140625" style="118"/>
    <col min="9218" max="9218" width="11" style="118" customWidth="1"/>
    <col min="9219" max="9219" width="11.140625" style="118" customWidth="1"/>
    <col min="9220" max="9220" width="9.140625" style="118"/>
    <col min="9221" max="9221" width="10.5703125" style="118" customWidth="1"/>
    <col min="9222" max="9222" width="11.42578125" style="118" customWidth="1"/>
    <col min="9223" max="9223" width="12.85546875" style="118" customWidth="1"/>
    <col min="9224" max="9224" width="18.85546875" style="118" customWidth="1"/>
    <col min="9225" max="9225" width="12" style="118" customWidth="1"/>
    <col min="9226" max="9226" width="13" style="118" customWidth="1"/>
    <col min="9227" max="9227" width="15.140625" style="118" customWidth="1"/>
    <col min="9228" max="9473" width="9.140625" style="118"/>
    <col min="9474" max="9474" width="11" style="118" customWidth="1"/>
    <col min="9475" max="9475" width="11.140625" style="118" customWidth="1"/>
    <col min="9476" max="9476" width="9.140625" style="118"/>
    <col min="9477" max="9477" width="10.5703125" style="118" customWidth="1"/>
    <col min="9478" max="9478" width="11.42578125" style="118" customWidth="1"/>
    <col min="9479" max="9479" width="12.85546875" style="118" customWidth="1"/>
    <col min="9480" max="9480" width="18.85546875" style="118" customWidth="1"/>
    <col min="9481" max="9481" width="12" style="118" customWidth="1"/>
    <col min="9482" max="9482" width="13" style="118" customWidth="1"/>
    <col min="9483" max="9483" width="15.140625" style="118" customWidth="1"/>
    <col min="9484" max="9729" width="9.140625" style="118"/>
    <col min="9730" max="9730" width="11" style="118" customWidth="1"/>
    <col min="9731" max="9731" width="11.140625" style="118" customWidth="1"/>
    <col min="9732" max="9732" width="9.140625" style="118"/>
    <col min="9733" max="9733" width="10.5703125" style="118" customWidth="1"/>
    <col min="9734" max="9734" width="11.42578125" style="118" customWidth="1"/>
    <col min="9735" max="9735" width="12.85546875" style="118" customWidth="1"/>
    <col min="9736" max="9736" width="18.85546875" style="118" customWidth="1"/>
    <col min="9737" max="9737" width="12" style="118" customWidth="1"/>
    <col min="9738" max="9738" width="13" style="118" customWidth="1"/>
    <col min="9739" max="9739" width="15.140625" style="118" customWidth="1"/>
    <col min="9740" max="9985" width="9.140625" style="118"/>
    <col min="9986" max="9986" width="11" style="118" customWidth="1"/>
    <col min="9987" max="9987" width="11.140625" style="118" customWidth="1"/>
    <col min="9988" max="9988" width="9.140625" style="118"/>
    <col min="9989" max="9989" width="10.5703125" style="118" customWidth="1"/>
    <col min="9990" max="9990" width="11.42578125" style="118" customWidth="1"/>
    <col min="9991" max="9991" width="12.85546875" style="118" customWidth="1"/>
    <col min="9992" max="9992" width="18.85546875" style="118" customWidth="1"/>
    <col min="9993" max="9993" width="12" style="118" customWidth="1"/>
    <col min="9994" max="9994" width="13" style="118" customWidth="1"/>
    <col min="9995" max="9995" width="15.140625" style="118" customWidth="1"/>
    <col min="9996" max="10241" width="9.140625" style="118"/>
    <col min="10242" max="10242" width="11" style="118" customWidth="1"/>
    <col min="10243" max="10243" width="11.140625" style="118" customWidth="1"/>
    <col min="10244" max="10244" width="9.140625" style="118"/>
    <col min="10245" max="10245" width="10.5703125" style="118" customWidth="1"/>
    <col min="10246" max="10246" width="11.42578125" style="118" customWidth="1"/>
    <col min="10247" max="10247" width="12.85546875" style="118" customWidth="1"/>
    <col min="10248" max="10248" width="18.85546875" style="118" customWidth="1"/>
    <col min="10249" max="10249" width="12" style="118" customWidth="1"/>
    <col min="10250" max="10250" width="13" style="118" customWidth="1"/>
    <col min="10251" max="10251" width="15.140625" style="118" customWidth="1"/>
    <col min="10252" max="10497" width="9.140625" style="118"/>
    <col min="10498" max="10498" width="11" style="118" customWidth="1"/>
    <col min="10499" max="10499" width="11.140625" style="118" customWidth="1"/>
    <col min="10500" max="10500" width="9.140625" style="118"/>
    <col min="10501" max="10501" width="10.5703125" style="118" customWidth="1"/>
    <col min="10502" max="10502" width="11.42578125" style="118" customWidth="1"/>
    <col min="10503" max="10503" width="12.85546875" style="118" customWidth="1"/>
    <col min="10504" max="10504" width="18.85546875" style="118" customWidth="1"/>
    <col min="10505" max="10505" width="12" style="118" customWidth="1"/>
    <col min="10506" max="10506" width="13" style="118" customWidth="1"/>
    <col min="10507" max="10507" width="15.140625" style="118" customWidth="1"/>
    <col min="10508" max="10753" width="9.140625" style="118"/>
    <col min="10754" max="10754" width="11" style="118" customWidth="1"/>
    <col min="10755" max="10755" width="11.140625" style="118" customWidth="1"/>
    <col min="10756" max="10756" width="9.140625" style="118"/>
    <col min="10757" max="10757" width="10.5703125" style="118" customWidth="1"/>
    <col min="10758" max="10758" width="11.42578125" style="118" customWidth="1"/>
    <col min="10759" max="10759" width="12.85546875" style="118" customWidth="1"/>
    <col min="10760" max="10760" width="18.85546875" style="118" customWidth="1"/>
    <col min="10761" max="10761" width="12" style="118" customWidth="1"/>
    <col min="10762" max="10762" width="13" style="118" customWidth="1"/>
    <col min="10763" max="10763" width="15.140625" style="118" customWidth="1"/>
    <col min="10764" max="11009" width="9.140625" style="118"/>
    <col min="11010" max="11010" width="11" style="118" customWidth="1"/>
    <col min="11011" max="11011" width="11.140625" style="118" customWidth="1"/>
    <col min="11012" max="11012" width="9.140625" style="118"/>
    <col min="11013" max="11013" width="10.5703125" style="118" customWidth="1"/>
    <col min="11014" max="11014" width="11.42578125" style="118" customWidth="1"/>
    <col min="11015" max="11015" width="12.85546875" style="118" customWidth="1"/>
    <col min="11016" max="11016" width="18.85546875" style="118" customWidth="1"/>
    <col min="11017" max="11017" width="12" style="118" customWidth="1"/>
    <col min="11018" max="11018" width="13" style="118" customWidth="1"/>
    <col min="11019" max="11019" width="15.140625" style="118" customWidth="1"/>
    <col min="11020" max="11265" width="9.140625" style="118"/>
    <col min="11266" max="11266" width="11" style="118" customWidth="1"/>
    <col min="11267" max="11267" width="11.140625" style="118" customWidth="1"/>
    <col min="11268" max="11268" width="9.140625" style="118"/>
    <col min="11269" max="11269" width="10.5703125" style="118" customWidth="1"/>
    <col min="11270" max="11270" width="11.42578125" style="118" customWidth="1"/>
    <col min="11271" max="11271" width="12.85546875" style="118" customWidth="1"/>
    <col min="11272" max="11272" width="18.85546875" style="118" customWidth="1"/>
    <col min="11273" max="11273" width="12" style="118" customWidth="1"/>
    <col min="11274" max="11274" width="13" style="118" customWidth="1"/>
    <col min="11275" max="11275" width="15.140625" style="118" customWidth="1"/>
    <col min="11276" max="11521" width="9.140625" style="118"/>
    <col min="11522" max="11522" width="11" style="118" customWidth="1"/>
    <col min="11523" max="11523" width="11.140625" style="118" customWidth="1"/>
    <col min="11524" max="11524" width="9.140625" style="118"/>
    <col min="11525" max="11525" width="10.5703125" style="118" customWidth="1"/>
    <col min="11526" max="11526" width="11.42578125" style="118" customWidth="1"/>
    <col min="11527" max="11527" width="12.85546875" style="118" customWidth="1"/>
    <col min="11528" max="11528" width="18.85546875" style="118" customWidth="1"/>
    <col min="11529" max="11529" width="12" style="118" customWidth="1"/>
    <col min="11530" max="11530" width="13" style="118" customWidth="1"/>
    <col min="11531" max="11531" width="15.140625" style="118" customWidth="1"/>
    <col min="11532" max="11777" width="9.140625" style="118"/>
    <col min="11778" max="11778" width="11" style="118" customWidth="1"/>
    <col min="11779" max="11779" width="11.140625" style="118" customWidth="1"/>
    <col min="11780" max="11780" width="9.140625" style="118"/>
    <col min="11781" max="11781" width="10.5703125" style="118" customWidth="1"/>
    <col min="11782" max="11782" width="11.42578125" style="118" customWidth="1"/>
    <col min="11783" max="11783" width="12.85546875" style="118" customWidth="1"/>
    <col min="11784" max="11784" width="18.85546875" style="118" customWidth="1"/>
    <col min="11785" max="11785" width="12" style="118" customWidth="1"/>
    <col min="11786" max="11786" width="13" style="118" customWidth="1"/>
    <col min="11787" max="11787" width="15.140625" style="118" customWidth="1"/>
    <col min="11788" max="12033" width="9.140625" style="118"/>
    <col min="12034" max="12034" width="11" style="118" customWidth="1"/>
    <col min="12035" max="12035" width="11.140625" style="118" customWidth="1"/>
    <col min="12036" max="12036" width="9.140625" style="118"/>
    <col min="12037" max="12037" width="10.5703125" style="118" customWidth="1"/>
    <col min="12038" max="12038" width="11.42578125" style="118" customWidth="1"/>
    <col min="12039" max="12039" width="12.85546875" style="118" customWidth="1"/>
    <col min="12040" max="12040" width="18.85546875" style="118" customWidth="1"/>
    <col min="12041" max="12041" width="12" style="118" customWidth="1"/>
    <col min="12042" max="12042" width="13" style="118" customWidth="1"/>
    <col min="12043" max="12043" width="15.140625" style="118" customWidth="1"/>
    <col min="12044" max="12289" width="9.140625" style="118"/>
    <col min="12290" max="12290" width="11" style="118" customWidth="1"/>
    <col min="12291" max="12291" width="11.140625" style="118" customWidth="1"/>
    <col min="12292" max="12292" width="9.140625" style="118"/>
    <col min="12293" max="12293" width="10.5703125" style="118" customWidth="1"/>
    <col min="12294" max="12294" width="11.42578125" style="118" customWidth="1"/>
    <col min="12295" max="12295" width="12.85546875" style="118" customWidth="1"/>
    <col min="12296" max="12296" width="18.85546875" style="118" customWidth="1"/>
    <col min="12297" max="12297" width="12" style="118" customWidth="1"/>
    <col min="12298" max="12298" width="13" style="118" customWidth="1"/>
    <col min="12299" max="12299" width="15.140625" style="118" customWidth="1"/>
    <col min="12300" max="12545" width="9.140625" style="118"/>
    <col min="12546" max="12546" width="11" style="118" customWidth="1"/>
    <col min="12547" max="12547" width="11.140625" style="118" customWidth="1"/>
    <col min="12548" max="12548" width="9.140625" style="118"/>
    <col min="12549" max="12549" width="10.5703125" style="118" customWidth="1"/>
    <col min="12550" max="12550" width="11.42578125" style="118" customWidth="1"/>
    <col min="12551" max="12551" width="12.85546875" style="118" customWidth="1"/>
    <col min="12552" max="12552" width="18.85546875" style="118" customWidth="1"/>
    <col min="12553" max="12553" width="12" style="118" customWidth="1"/>
    <col min="12554" max="12554" width="13" style="118" customWidth="1"/>
    <col min="12555" max="12555" width="15.140625" style="118" customWidth="1"/>
    <col min="12556" max="12801" width="9.140625" style="118"/>
    <col min="12802" max="12802" width="11" style="118" customWidth="1"/>
    <col min="12803" max="12803" width="11.140625" style="118" customWidth="1"/>
    <col min="12804" max="12804" width="9.140625" style="118"/>
    <col min="12805" max="12805" width="10.5703125" style="118" customWidth="1"/>
    <col min="12806" max="12806" width="11.42578125" style="118" customWidth="1"/>
    <col min="12807" max="12807" width="12.85546875" style="118" customWidth="1"/>
    <col min="12808" max="12808" width="18.85546875" style="118" customWidth="1"/>
    <col min="12809" max="12809" width="12" style="118" customWidth="1"/>
    <col min="12810" max="12810" width="13" style="118" customWidth="1"/>
    <col min="12811" max="12811" width="15.140625" style="118" customWidth="1"/>
    <col min="12812" max="13057" width="9.140625" style="118"/>
    <col min="13058" max="13058" width="11" style="118" customWidth="1"/>
    <col min="13059" max="13059" width="11.140625" style="118" customWidth="1"/>
    <col min="13060" max="13060" width="9.140625" style="118"/>
    <col min="13061" max="13061" width="10.5703125" style="118" customWidth="1"/>
    <col min="13062" max="13062" width="11.42578125" style="118" customWidth="1"/>
    <col min="13063" max="13063" width="12.85546875" style="118" customWidth="1"/>
    <col min="13064" max="13064" width="18.85546875" style="118" customWidth="1"/>
    <col min="13065" max="13065" width="12" style="118" customWidth="1"/>
    <col min="13066" max="13066" width="13" style="118" customWidth="1"/>
    <col min="13067" max="13067" width="15.140625" style="118" customWidth="1"/>
    <col min="13068" max="13313" width="9.140625" style="118"/>
    <col min="13314" max="13314" width="11" style="118" customWidth="1"/>
    <col min="13315" max="13315" width="11.140625" style="118" customWidth="1"/>
    <col min="13316" max="13316" width="9.140625" style="118"/>
    <col min="13317" max="13317" width="10.5703125" style="118" customWidth="1"/>
    <col min="13318" max="13318" width="11.42578125" style="118" customWidth="1"/>
    <col min="13319" max="13319" width="12.85546875" style="118" customWidth="1"/>
    <col min="13320" max="13320" width="18.85546875" style="118" customWidth="1"/>
    <col min="13321" max="13321" width="12" style="118" customWidth="1"/>
    <col min="13322" max="13322" width="13" style="118" customWidth="1"/>
    <col min="13323" max="13323" width="15.140625" style="118" customWidth="1"/>
    <col min="13324" max="13569" width="9.140625" style="118"/>
    <col min="13570" max="13570" width="11" style="118" customWidth="1"/>
    <col min="13571" max="13571" width="11.140625" style="118" customWidth="1"/>
    <col min="13572" max="13572" width="9.140625" style="118"/>
    <col min="13573" max="13573" width="10.5703125" style="118" customWidth="1"/>
    <col min="13574" max="13574" width="11.42578125" style="118" customWidth="1"/>
    <col min="13575" max="13575" width="12.85546875" style="118" customWidth="1"/>
    <col min="13576" max="13576" width="18.85546875" style="118" customWidth="1"/>
    <col min="13577" max="13577" width="12" style="118" customWidth="1"/>
    <col min="13578" max="13578" width="13" style="118" customWidth="1"/>
    <col min="13579" max="13579" width="15.140625" style="118" customWidth="1"/>
    <col min="13580" max="13825" width="9.140625" style="118"/>
    <col min="13826" max="13826" width="11" style="118" customWidth="1"/>
    <col min="13827" max="13827" width="11.140625" style="118" customWidth="1"/>
    <col min="13828" max="13828" width="9.140625" style="118"/>
    <col min="13829" max="13829" width="10.5703125" style="118" customWidth="1"/>
    <col min="13830" max="13830" width="11.42578125" style="118" customWidth="1"/>
    <col min="13831" max="13831" width="12.85546875" style="118" customWidth="1"/>
    <col min="13832" max="13832" width="18.85546875" style="118" customWidth="1"/>
    <col min="13833" max="13833" width="12" style="118" customWidth="1"/>
    <col min="13834" max="13834" width="13" style="118" customWidth="1"/>
    <col min="13835" max="13835" width="15.140625" style="118" customWidth="1"/>
    <col min="13836" max="14081" width="9.140625" style="118"/>
    <col min="14082" max="14082" width="11" style="118" customWidth="1"/>
    <col min="14083" max="14083" width="11.140625" style="118" customWidth="1"/>
    <col min="14084" max="14084" width="9.140625" style="118"/>
    <col min="14085" max="14085" width="10.5703125" style="118" customWidth="1"/>
    <col min="14086" max="14086" width="11.42578125" style="118" customWidth="1"/>
    <col min="14087" max="14087" width="12.85546875" style="118" customWidth="1"/>
    <col min="14088" max="14088" width="18.85546875" style="118" customWidth="1"/>
    <col min="14089" max="14089" width="12" style="118" customWidth="1"/>
    <col min="14090" max="14090" width="13" style="118" customWidth="1"/>
    <col min="14091" max="14091" width="15.140625" style="118" customWidth="1"/>
    <col min="14092" max="14337" width="9.140625" style="118"/>
    <col min="14338" max="14338" width="11" style="118" customWidth="1"/>
    <col min="14339" max="14339" width="11.140625" style="118" customWidth="1"/>
    <col min="14340" max="14340" width="9.140625" style="118"/>
    <col min="14341" max="14341" width="10.5703125" style="118" customWidth="1"/>
    <col min="14342" max="14342" width="11.42578125" style="118" customWidth="1"/>
    <col min="14343" max="14343" width="12.85546875" style="118" customWidth="1"/>
    <col min="14344" max="14344" width="18.85546875" style="118" customWidth="1"/>
    <col min="14345" max="14345" width="12" style="118" customWidth="1"/>
    <col min="14346" max="14346" width="13" style="118" customWidth="1"/>
    <col min="14347" max="14347" width="15.140625" style="118" customWidth="1"/>
    <col min="14348" max="14593" width="9.140625" style="118"/>
    <col min="14594" max="14594" width="11" style="118" customWidth="1"/>
    <col min="14595" max="14595" width="11.140625" style="118" customWidth="1"/>
    <col min="14596" max="14596" width="9.140625" style="118"/>
    <col min="14597" max="14597" width="10.5703125" style="118" customWidth="1"/>
    <col min="14598" max="14598" width="11.42578125" style="118" customWidth="1"/>
    <col min="14599" max="14599" width="12.85546875" style="118" customWidth="1"/>
    <col min="14600" max="14600" width="18.85546875" style="118" customWidth="1"/>
    <col min="14601" max="14601" width="12" style="118" customWidth="1"/>
    <col min="14602" max="14602" width="13" style="118" customWidth="1"/>
    <col min="14603" max="14603" width="15.140625" style="118" customWidth="1"/>
    <col min="14604" max="14849" width="9.140625" style="118"/>
    <col min="14850" max="14850" width="11" style="118" customWidth="1"/>
    <col min="14851" max="14851" width="11.140625" style="118" customWidth="1"/>
    <col min="14852" max="14852" width="9.140625" style="118"/>
    <col min="14853" max="14853" width="10.5703125" style="118" customWidth="1"/>
    <col min="14854" max="14854" width="11.42578125" style="118" customWidth="1"/>
    <col min="14855" max="14855" width="12.85546875" style="118" customWidth="1"/>
    <col min="14856" max="14856" width="18.85546875" style="118" customWidth="1"/>
    <col min="14857" max="14857" width="12" style="118" customWidth="1"/>
    <col min="14858" max="14858" width="13" style="118" customWidth="1"/>
    <col min="14859" max="14859" width="15.140625" style="118" customWidth="1"/>
    <col min="14860" max="15105" width="9.140625" style="118"/>
    <col min="15106" max="15106" width="11" style="118" customWidth="1"/>
    <col min="15107" max="15107" width="11.140625" style="118" customWidth="1"/>
    <col min="15108" max="15108" width="9.140625" style="118"/>
    <col min="15109" max="15109" width="10.5703125" style="118" customWidth="1"/>
    <col min="15110" max="15110" width="11.42578125" style="118" customWidth="1"/>
    <col min="15111" max="15111" width="12.85546875" style="118" customWidth="1"/>
    <col min="15112" max="15112" width="18.85546875" style="118" customWidth="1"/>
    <col min="15113" max="15113" width="12" style="118" customWidth="1"/>
    <col min="15114" max="15114" width="13" style="118" customWidth="1"/>
    <col min="15115" max="15115" width="15.140625" style="118" customWidth="1"/>
    <col min="15116" max="15361" width="9.140625" style="118"/>
    <col min="15362" max="15362" width="11" style="118" customWidth="1"/>
    <col min="15363" max="15363" width="11.140625" style="118" customWidth="1"/>
    <col min="15364" max="15364" width="9.140625" style="118"/>
    <col min="15365" max="15365" width="10.5703125" style="118" customWidth="1"/>
    <col min="15366" max="15366" width="11.42578125" style="118" customWidth="1"/>
    <col min="15367" max="15367" width="12.85546875" style="118" customWidth="1"/>
    <col min="15368" max="15368" width="18.85546875" style="118" customWidth="1"/>
    <col min="15369" max="15369" width="12" style="118" customWidth="1"/>
    <col min="15370" max="15370" width="13" style="118" customWidth="1"/>
    <col min="15371" max="15371" width="15.140625" style="118" customWidth="1"/>
    <col min="15372" max="15617" width="9.140625" style="118"/>
    <col min="15618" max="15618" width="11" style="118" customWidth="1"/>
    <col min="15619" max="15619" width="11.140625" style="118" customWidth="1"/>
    <col min="15620" max="15620" width="9.140625" style="118"/>
    <col min="15621" max="15621" width="10.5703125" style="118" customWidth="1"/>
    <col min="15622" max="15622" width="11.42578125" style="118" customWidth="1"/>
    <col min="15623" max="15623" width="12.85546875" style="118" customWidth="1"/>
    <col min="15624" max="15624" width="18.85546875" style="118" customWidth="1"/>
    <col min="15625" max="15625" width="12" style="118" customWidth="1"/>
    <col min="15626" max="15626" width="13" style="118" customWidth="1"/>
    <col min="15627" max="15627" width="15.140625" style="118" customWidth="1"/>
    <col min="15628" max="15873" width="9.140625" style="118"/>
    <col min="15874" max="15874" width="11" style="118" customWidth="1"/>
    <col min="15875" max="15875" width="11.140625" style="118" customWidth="1"/>
    <col min="15876" max="15876" width="9.140625" style="118"/>
    <col min="15877" max="15877" width="10.5703125" style="118" customWidth="1"/>
    <col min="15878" max="15878" width="11.42578125" style="118" customWidth="1"/>
    <col min="15879" max="15879" width="12.85546875" style="118" customWidth="1"/>
    <col min="15880" max="15880" width="18.85546875" style="118" customWidth="1"/>
    <col min="15881" max="15881" width="12" style="118" customWidth="1"/>
    <col min="15882" max="15882" width="13" style="118" customWidth="1"/>
    <col min="15883" max="15883" width="15.140625" style="118" customWidth="1"/>
    <col min="15884" max="16129" width="9.140625" style="118"/>
    <col min="16130" max="16130" width="11" style="118" customWidth="1"/>
    <col min="16131" max="16131" width="11.140625" style="118" customWidth="1"/>
    <col min="16132" max="16132" width="9.140625" style="118"/>
    <col min="16133" max="16133" width="10.5703125" style="118" customWidth="1"/>
    <col min="16134" max="16134" width="11.42578125" style="118" customWidth="1"/>
    <col min="16135" max="16135" width="12.85546875" style="118" customWidth="1"/>
    <col min="16136" max="16136" width="18.85546875" style="118" customWidth="1"/>
    <col min="16137" max="16137" width="12" style="118" customWidth="1"/>
    <col min="16138" max="16138" width="13" style="118" customWidth="1"/>
    <col min="16139" max="16139" width="15.140625" style="118" customWidth="1"/>
    <col min="16140" max="16384" width="9.140625" style="118"/>
  </cols>
  <sheetData>
    <row r="1" spans="1:11" ht="57.75" customHeight="1">
      <c r="A1" s="4076"/>
      <c r="B1" s="4076"/>
      <c r="C1" s="4077"/>
      <c r="D1" s="4076"/>
      <c r="E1" s="4076"/>
      <c r="F1" s="4076"/>
      <c r="G1" s="4122" t="s">
        <v>1457</v>
      </c>
      <c r="H1" s="4122"/>
      <c r="I1" s="4122"/>
      <c r="J1" s="4122"/>
      <c r="K1" s="4122"/>
    </row>
    <row r="2" spans="1:11" ht="59.25" customHeight="1">
      <c r="A2" s="4007" t="s">
        <v>278</v>
      </c>
      <c r="B2" s="4007"/>
      <c r="C2" s="4007"/>
      <c r="D2" s="4007"/>
      <c r="E2" s="4007"/>
      <c r="F2" s="4007"/>
      <c r="G2" s="4007"/>
      <c r="H2" s="4007"/>
      <c r="I2" s="4007"/>
      <c r="J2" s="4007"/>
      <c r="K2" s="4007"/>
    </row>
    <row r="3" spans="1:11" ht="19.5" customHeight="1" thickBot="1">
      <c r="A3" s="119"/>
      <c r="B3" s="119"/>
      <c r="C3" s="119"/>
      <c r="D3" s="119"/>
      <c r="E3" s="119"/>
      <c r="F3" s="103"/>
      <c r="G3" s="103"/>
      <c r="H3" s="103"/>
      <c r="I3" s="103"/>
      <c r="J3" s="103"/>
      <c r="K3" s="427" t="s">
        <v>5</v>
      </c>
    </row>
    <row r="4" spans="1:11" ht="38.25" customHeight="1" thickBot="1">
      <c r="A4" s="4123" t="s">
        <v>279</v>
      </c>
      <c r="B4" s="4124"/>
      <c r="C4" s="4124"/>
      <c r="D4" s="4124"/>
      <c r="E4" s="4124"/>
      <c r="F4" s="4124"/>
      <c r="G4" s="4124"/>
      <c r="H4" s="4124"/>
      <c r="I4" s="4124"/>
      <c r="J4" s="4124"/>
      <c r="K4" s="4125"/>
    </row>
    <row r="5" spans="1:11" ht="23.25" customHeight="1" thickBot="1">
      <c r="A5" s="428" t="s">
        <v>0</v>
      </c>
      <c r="B5" s="428" t="s">
        <v>280</v>
      </c>
      <c r="C5" s="429" t="s">
        <v>2</v>
      </c>
      <c r="D5" s="4126" t="s">
        <v>31</v>
      </c>
      <c r="E5" s="4127"/>
      <c r="F5" s="4127"/>
      <c r="G5" s="4127"/>
      <c r="H5" s="4127"/>
      <c r="I5" s="4128"/>
      <c r="J5" s="4104" t="s">
        <v>32</v>
      </c>
      <c r="K5" s="4102"/>
    </row>
    <row r="6" spans="1:11" ht="14.1" customHeight="1">
      <c r="A6" s="4129">
        <v>855</v>
      </c>
      <c r="B6" s="430"/>
      <c r="C6" s="4132" t="s">
        <v>9</v>
      </c>
      <c r="D6" s="4132"/>
      <c r="E6" s="4132"/>
      <c r="F6" s="4132"/>
      <c r="G6" s="4132"/>
      <c r="H6" s="4132"/>
      <c r="I6" s="4133"/>
      <c r="J6" s="4134">
        <f>SUM(J7)</f>
        <v>4390762</v>
      </c>
      <c r="K6" s="4135"/>
    </row>
    <row r="7" spans="1:11" ht="14.1" customHeight="1">
      <c r="A7" s="4130"/>
      <c r="B7" s="4136">
        <v>85510</v>
      </c>
      <c r="C7" s="4138" t="s">
        <v>281</v>
      </c>
      <c r="D7" s="4138"/>
      <c r="E7" s="4138"/>
      <c r="F7" s="4138"/>
      <c r="G7" s="4138"/>
      <c r="H7" s="4138"/>
      <c r="I7" s="4139"/>
      <c r="J7" s="4140">
        <f>SUM(J8)</f>
        <v>4390762</v>
      </c>
      <c r="K7" s="4141"/>
    </row>
    <row r="8" spans="1:11" ht="19.5" customHeight="1" thickBot="1">
      <c r="A8" s="4131"/>
      <c r="B8" s="4137"/>
      <c r="C8" s="2824">
        <v>2320</v>
      </c>
      <c r="D8" s="4142"/>
      <c r="E8" s="4142"/>
      <c r="F8" s="4142"/>
      <c r="G8" s="4142"/>
      <c r="H8" s="4142"/>
      <c r="I8" s="4143"/>
      <c r="J8" s="4144">
        <v>4390762</v>
      </c>
      <c r="K8" s="4145"/>
    </row>
    <row r="9" spans="1:11" ht="15">
      <c r="A9" s="4146" t="s">
        <v>116</v>
      </c>
      <c r="B9" s="4149" t="s">
        <v>282</v>
      </c>
      <c r="C9" s="4150"/>
      <c r="D9" s="4150"/>
      <c r="E9" s="4150"/>
      <c r="F9" s="4150"/>
      <c r="G9" s="4150"/>
      <c r="H9" s="4150"/>
      <c r="I9" s="4151"/>
      <c r="J9" s="4152">
        <f>SUM(J10)</f>
        <v>4372727</v>
      </c>
      <c r="K9" s="4153"/>
    </row>
    <row r="10" spans="1:11" ht="14.25">
      <c r="A10" s="4147"/>
      <c r="B10" s="4154" t="s">
        <v>283</v>
      </c>
      <c r="C10" s="4156" t="s">
        <v>284</v>
      </c>
      <c r="D10" s="4156"/>
      <c r="E10" s="4156"/>
      <c r="F10" s="4156"/>
      <c r="G10" s="4156"/>
      <c r="H10" s="4156"/>
      <c r="I10" s="4157"/>
      <c r="J10" s="4140">
        <f>SUM(J11:K12)</f>
        <v>4372727</v>
      </c>
      <c r="K10" s="4141"/>
    </row>
    <row r="11" spans="1:11" ht="15">
      <c r="A11" s="4147"/>
      <c r="B11" s="4154"/>
      <c r="C11" s="2825">
        <v>2310</v>
      </c>
      <c r="D11" s="4158"/>
      <c r="E11" s="4158"/>
      <c r="F11" s="4158"/>
      <c r="G11" s="4158"/>
      <c r="H11" s="4158"/>
      <c r="I11" s="4159"/>
      <c r="J11" s="4160">
        <v>4292727</v>
      </c>
      <c r="K11" s="4161"/>
    </row>
    <row r="12" spans="1:11" ht="15.75" thickBot="1">
      <c r="A12" s="4148"/>
      <c r="B12" s="4155"/>
      <c r="C12" s="2826">
        <v>2320</v>
      </c>
      <c r="D12" s="4162"/>
      <c r="E12" s="4162"/>
      <c r="F12" s="4162"/>
      <c r="G12" s="4162"/>
      <c r="H12" s="4162"/>
      <c r="I12" s="4163"/>
      <c r="J12" s="4144">
        <v>80000</v>
      </c>
      <c r="K12" s="4145"/>
    </row>
    <row r="13" spans="1:11" ht="16.5" thickBot="1">
      <c r="A13" s="4164" t="s">
        <v>3</v>
      </c>
      <c r="B13" s="4165"/>
      <c r="C13" s="4165"/>
      <c r="D13" s="4165"/>
      <c r="E13" s="4165"/>
      <c r="F13" s="4165"/>
      <c r="G13" s="4165"/>
      <c r="H13" s="4165"/>
      <c r="I13" s="4166"/>
      <c r="J13" s="4167">
        <f>J9+J6</f>
        <v>8763489</v>
      </c>
      <c r="K13" s="4168"/>
    </row>
    <row r="14" spans="1:11" ht="15.75" thickBot="1">
      <c r="A14" s="71"/>
      <c r="B14" s="71"/>
      <c r="C14" s="431"/>
      <c r="D14" s="432"/>
      <c r="E14" s="432"/>
      <c r="F14" s="432"/>
      <c r="G14" s="432"/>
      <c r="H14" s="432"/>
      <c r="I14" s="432"/>
      <c r="J14" s="431"/>
      <c r="K14" s="433" t="s">
        <v>5</v>
      </c>
    </row>
    <row r="15" spans="1:11" ht="37.5" customHeight="1" thickBot="1">
      <c r="A15" s="4169" t="s">
        <v>285</v>
      </c>
      <c r="B15" s="4170"/>
      <c r="C15" s="4170"/>
      <c r="D15" s="4170"/>
      <c r="E15" s="4170"/>
      <c r="F15" s="4170"/>
      <c r="G15" s="4170"/>
      <c r="H15" s="4170"/>
      <c r="I15" s="4170"/>
      <c r="J15" s="4170"/>
      <c r="K15" s="4171"/>
    </row>
    <row r="16" spans="1:11" ht="15">
      <c r="A16" s="4172" t="s">
        <v>0</v>
      </c>
      <c r="B16" s="4174" t="s">
        <v>30</v>
      </c>
      <c r="C16" s="4172" t="s">
        <v>31</v>
      </c>
      <c r="D16" s="4172"/>
      <c r="E16" s="4105" t="s">
        <v>2</v>
      </c>
      <c r="F16" s="4177" t="s">
        <v>57</v>
      </c>
      <c r="G16" s="4179" t="s">
        <v>58</v>
      </c>
      <c r="H16" s="4180" t="s">
        <v>1</v>
      </c>
      <c r="I16" s="4181"/>
      <c r="J16" s="4182"/>
      <c r="K16" s="4184" t="s">
        <v>60</v>
      </c>
    </row>
    <row r="17" spans="1:11" ht="51" customHeight="1" thickBot="1">
      <c r="A17" s="4173"/>
      <c r="B17" s="4175"/>
      <c r="C17" s="4173"/>
      <c r="D17" s="4173"/>
      <c r="E17" s="4176"/>
      <c r="F17" s="4178"/>
      <c r="G17" s="4173"/>
      <c r="H17" s="2827" t="s">
        <v>286</v>
      </c>
      <c r="I17" s="2828" t="s">
        <v>287</v>
      </c>
      <c r="J17" s="2829" t="s">
        <v>288</v>
      </c>
      <c r="K17" s="4185"/>
    </row>
    <row r="18" spans="1:11" ht="15" customHeight="1">
      <c r="A18" s="4186">
        <v>855</v>
      </c>
      <c r="B18" s="4188" t="s">
        <v>9</v>
      </c>
      <c r="C18" s="4189"/>
      <c r="D18" s="4189"/>
      <c r="E18" s="4190"/>
      <c r="F18" s="434">
        <f t="shared" ref="F18:K18" si="0">F19</f>
        <v>4390762</v>
      </c>
      <c r="G18" s="435">
        <f t="shared" si="0"/>
        <v>4390762</v>
      </c>
      <c r="H18" s="436">
        <f t="shared" si="0"/>
        <v>0</v>
      </c>
      <c r="I18" s="421">
        <f t="shared" si="0"/>
        <v>4390762</v>
      </c>
      <c r="J18" s="437">
        <f t="shared" si="0"/>
        <v>0</v>
      </c>
      <c r="K18" s="438">
        <f t="shared" si="0"/>
        <v>0</v>
      </c>
    </row>
    <row r="19" spans="1:11" ht="63.75" customHeight="1" thickBot="1">
      <c r="A19" s="4187"/>
      <c r="B19" s="2830">
        <v>85510</v>
      </c>
      <c r="C19" s="4191" t="s">
        <v>281</v>
      </c>
      <c r="D19" s="4192"/>
      <c r="E19" s="2831">
        <v>2360</v>
      </c>
      <c r="F19" s="439">
        <f>G19+K19</f>
        <v>4390762</v>
      </c>
      <c r="G19" s="163">
        <f>H19+I19+J19</f>
        <v>4390762</v>
      </c>
      <c r="H19" s="2832">
        <v>0</v>
      </c>
      <c r="I19" s="2833">
        <v>4390762</v>
      </c>
      <c r="J19" s="2834">
        <v>0</v>
      </c>
      <c r="K19" s="2835">
        <v>0</v>
      </c>
    </row>
    <row r="20" spans="1:11" ht="30" customHeight="1">
      <c r="A20" s="4073" t="s">
        <v>116</v>
      </c>
      <c r="B20" s="4193" t="s">
        <v>289</v>
      </c>
      <c r="C20" s="4194"/>
      <c r="D20" s="4194"/>
      <c r="E20" s="4195"/>
      <c r="F20" s="2836">
        <f t="shared" ref="F20:K20" si="1">F21+F22</f>
        <v>4372727</v>
      </c>
      <c r="G20" s="440">
        <f t="shared" si="1"/>
        <v>4372727</v>
      </c>
      <c r="H20" s="441">
        <f t="shared" si="1"/>
        <v>0</v>
      </c>
      <c r="I20" s="442">
        <f t="shared" si="1"/>
        <v>4372727</v>
      </c>
      <c r="J20" s="443">
        <f t="shared" si="1"/>
        <v>0</v>
      </c>
      <c r="K20" s="444">
        <f t="shared" si="1"/>
        <v>0</v>
      </c>
    </row>
    <row r="21" spans="1:11" ht="22.5" customHeight="1">
      <c r="A21" s="4073"/>
      <c r="B21" s="4196" t="s">
        <v>283</v>
      </c>
      <c r="C21" s="4198" t="s">
        <v>284</v>
      </c>
      <c r="D21" s="4198"/>
      <c r="E21" s="2837">
        <v>2480</v>
      </c>
      <c r="F21" s="2838">
        <f>G21+K21</f>
        <v>4292727</v>
      </c>
      <c r="G21" s="2839">
        <f>H21+I21+J21</f>
        <v>4292727</v>
      </c>
      <c r="H21" s="2840">
        <v>0</v>
      </c>
      <c r="I21" s="2841">
        <v>4292727</v>
      </c>
      <c r="J21" s="2842">
        <v>0</v>
      </c>
      <c r="K21" s="2843">
        <v>0</v>
      </c>
    </row>
    <row r="22" spans="1:11" ht="21" customHeight="1" thickBot="1">
      <c r="A22" s="4065"/>
      <c r="B22" s="4197"/>
      <c r="C22" s="4199"/>
      <c r="D22" s="4199"/>
      <c r="E22" s="2837">
        <v>2800</v>
      </c>
      <c r="F22" s="2838">
        <f>G22+K22</f>
        <v>80000</v>
      </c>
      <c r="G22" s="2839">
        <f>H22+I22+J22</f>
        <v>80000</v>
      </c>
      <c r="H22" s="2840">
        <v>0</v>
      </c>
      <c r="I22" s="2841">
        <v>80000</v>
      </c>
      <c r="J22" s="2842">
        <v>0</v>
      </c>
      <c r="K22" s="2843">
        <v>0</v>
      </c>
    </row>
    <row r="23" spans="1:11" ht="22.5" customHeight="1" thickBot="1">
      <c r="A23" s="4119" t="s">
        <v>68</v>
      </c>
      <c r="B23" s="4183"/>
      <c r="C23" s="4183"/>
      <c r="D23" s="4183"/>
      <c r="E23" s="4183"/>
      <c r="F23" s="424">
        <f t="shared" ref="F23:K23" si="2">F20+F18</f>
        <v>8763489</v>
      </c>
      <c r="G23" s="423">
        <f t="shared" si="2"/>
        <v>8763489</v>
      </c>
      <c r="H23" s="445">
        <f t="shared" si="2"/>
        <v>0</v>
      </c>
      <c r="I23" s="423">
        <f>I20+I18</f>
        <v>8763489</v>
      </c>
      <c r="J23" s="423">
        <f t="shared" si="2"/>
        <v>0</v>
      </c>
      <c r="K23" s="445">
        <f t="shared" si="2"/>
        <v>0</v>
      </c>
    </row>
    <row r="28" spans="1:11">
      <c r="E28" s="204"/>
    </row>
    <row r="534" spans="17:17">
      <c r="Q534" s="118">
        <f>P534-O534</f>
        <v>0</v>
      </c>
    </row>
  </sheetData>
  <mergeCells count="43">
    <mergeCell ref="A23:E23"/>
    <mergeCell ref="K16:K17"/>
    <mergeCell ref="A18:A19"/>
    <mergeCell ref="B18:E18"/>
    <mergeCell ref="C19:D19"/>
    <mergeCell ref="A20:A22"/>
    <mergeCell ref="B20:E20"/>
    <mergeCell ref="B21:B22"/>
    <mergeCell ref="C21:D22"/>
    <mergeCell ref="A13:I13"/>
    <mergeCell ref="J13:K13"/>
    <mergeCell ref="A15:K15"/>
    <mergeCell ref="A16:A17"/>
    <mergeCell ref="B16:B17"/>
    <mergeCell ref="C16:D17"/>
    <mergeCell ref="E16:E17"/>
    <mergeCell ref="F16:F17"/>
    <mergeCell ref="G16:G17"/>
    <mergeCell ref="H16:J16"/>
    <mergeCell ref="A9:A12"/>
    <mergeCell ref="B9:I9"/>
    <mergeCell ref="J9:K9"/>
    <mergeCell ref="B10:B12"/>
    <mergeCell ref="C10:I10"/>
    <mergeCell ref="J10:K10"/>
    <mergeCell ref="D11:I11"/>
    <mergeCell ref="J11:K11"/>
    <mergeCell ref="D12:I12"/>
    <mergeCell ref="J12:K12"/>
    <mergeCell ref="A6:A8"/>
    <mergeCell ref="C6:I6"/>
    <mergeCell ref="J6:K6"/>
    <mergeCell ref="B7:B8"/>
    <mergeCell ref="C7:I7"/>
    <mergeCell ref="J7:K7"/>
    <mergeCell ref="D8:I8"/>
    <mergeCell ref="J8:K8"/>
    <mergeCell ref="A1:F1"/>
    <mergeCell ref="G1:K1"/>
    <mergeCell ref="A2:K2"/>
    <mergeCell ref="A4:K4"/>
    <mergeCell ref="D5:I5"/>
    <mergeCell ref="J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8"/>
  <sheetViews>
    <sheetView view="pageBreakPreview" topLeftCell="A19" zoomScaleSheetLayoutView="100" workbookViewId="0">
      <selection activeCell="J11" sqref="J11"/>
    </sheetView>
  </sheetViews>
  <sheetFormatPr defaultRowHeight="12.75"/>
  <cols>
    <col min="1" max="6" width="12.7109375" style="243" customWidth="1"/>
    <col min="7" max="7" width="60.7109375" style="243" customWidth="1"/>
    <col min="8" max="8" width="10.140625" style="118" bestFit="1" customWidth="1"/>
    <col min="9" max="9" width="10.7109375" style="118" bestFit="1" customWidth="1"/>
    <col min="10" max="256" width="9.140625" style="118"/>
    <col min="257" max="257" width="7.7109375" style="118" customWidth="1"/>
    <col min="258" max="258" width="10.5703125" style="118" customWidth="1"/>
    <col min="259" max="259" width="11.140625" style="118" bestFit="1" customWidth="1"/>
    <col min="260" max="260" width="22.140625" style="118" bestFit="1" customWidth="1"/>
    <col min="261" max="261" width="12.28515625" style="118" customWidth="1"/>
    <col min="262" max="262" width="12.5703125" style="118" customWidth="1"/>
    <col min="263" max="263" width="12.140625" style="118" customWidth="1"/>
    <col min="264" max="264" width="19.7109375" style="118" customWidth="1"/>
    <col min="265" max="512" width="9.140625" style="118"/>
    <col min="513" max="513" width="7.7109375" style="118" customWidth="1"/>
    <col min="514" max="514" width="10.5703125" style="118" customWidth="1"/>
    <col min="515" max="515" width="11.140625" style="118" bestFit="1" customWidth="1"/>
    <col min="516" max="516" width="22.140625" style="118" bestFit="1" customWidth="1"/>
    <col min="517" max="517" width="12.28515625" style="118" customWidth="1"/>
    <col min="518" max="518" width="12.5703125" style="118" customWidth="1"/>
    <col min="519" max="519" width="12.140625" style="118" customWidth="1"/>
    <col min="520" max="520" width="19.7109375" style="118" customWidth="1"/>
    <col min="521" max="768" width="9.140625" style="118"/>
    <col min="769" max="769" width="7.7109375" style="118" customWidth="1"/>
    <col min="770" max="770" width="10.5703125" style="118" customWidth="1"/>
    <col min="771" max="771" width="11.140625" style="118" bestFit="1" customWidth="1"/>
    <col min="772" max="772" width="22.140625" style="118" bestFit="1" customWidth="1"/>
    <col min="773" max="773" width="12.28515625" style="118" customWidth="1"/>
    <col min="774" max="774" width="12.5703125" style="118" customWidth="1"/>
    <col min="775" max="775" width="12.140625" style="118" customWidth="1"/>
    <col min="776" max="776" width="19.7109375" style="118" customWidth="1"/>
    <col min="777" max="1024" width="9.140625" style="118"/>
    <col min="1025" max="1025" width="7.7109375" style="118" customWidth="1"/>
    <col min="1026" max="1026" width="10.5703125" style="118" customWidth="1"/>
    <col min="1027" max="1027" width="11.140625" style="118" bestFit="1" customWidth="1"/>
    <col min="1028" max="1028" width="22.140625" style="118" bestFit="1" customWidth="1"/>
    <col min="1029" max="1029" width="12.28515625" style="118" customWidth="1"/>
    <col min="1030" max="1030" width="12.5703125" style="118" customWidth="1"/>
    <col min="1031" max="1031" width="12.140625" style="118" customWidth="1"/>
    <col min="1032" max="1032" width="19.7109375" style="118" customWidth="1"/>
    <col min="1033" max="1280" width="9.140625" style="118"/>
    <col min="1281" max="1281" width="7.7109375" style="118" customWidth="1"/>
    <col min="1282" max="1282" width="10.5703125" style="118" customWidth="1"/>
    <col min="1283" max="1283" width="11.140625" style="118" bestFit="1" customWidth="1"/>
    <col min="1284" max="1284" width="22.140625" style="118" bestFit="1" customWidth="1"/>
    <col min="1285" max="1285" width="12.28515625" style="118" customWidth="1"/>
    <col min="1286" max="1286" width="12.5703125" style="118" customWidth="1"/>
    <col min="1287" max="1287" width="12.140625" style="118" customWidth="1"/>
    <col min="1288" max="1288" width="19.7109375" style="118" customWidth="1"/>
    <col min="1289" max="1536" width="9.140625" style="118"/>
    <col min="1537" max="1537" width="7.7109375" style="118" customWidth="1"/>
    <col min="1538" max="1538" width="10.5703125" style="118" customWidth="1"/>
    <col min="1539" max="1539" width="11.140625" style="118" bestFit="1" customWidth="1"/>
    <col min="1540" max="1540" width="22.140625" style="118" bestFit="1" customWidth="1"/>
    <col min="1541" max="1541" width="12.28515625" style="118" customWidth="1"/>
    <col min="1542" max="1542" width="12.5703125" style="118" customWidth="1"/>
    <col min="1543" max="1543" width="12.140625" style="118" customWidth="1"/>
    <col min="1544" max="1544" width="19.7109375" style="118" customWidth="1"/>
    <col min="1545" max="1792" width="9.140625" style="118"/>
    <col min="1793" max="1793" width="7.7109375" style="118" customWidth="1"/>
    <col min="1794" max="1794" width="10.5703125" style="118" customWidth="1"/>
    <col min="1795" max="1795" width="11.140625" style="118" bestFit="1" customWidth="1"/>
    <col min="1796" max="1796" width="22.140625" style="118" bestFit="1" customWidth="1"/>
    <col min="1797" max="1797" width="12.28515625" style="118" customWidth="1"/>
    <col min="1798" max="1798" width="12.5703125" style="118" customWidth="1"/>
    <col min="1799" max="1799" width="12.140625" style="118" customWidth="1"/>
    <col min="1800" max="1800" width="19.7109375" style="118" customWidth="1"/>
    <col min="1801" max="2048" width="9.140625" style="118"/>
    <col min="2049" max="2049" width="7.7109375" style="118" customWidth="1"/>
    <col min="2050" max="2050" width="10.5703125" style="118" customWidth="1"/>
    <col min="2051" max="2051" width="11.140625" style="118" bestFit="1" customWidth="1"/>
    <col min="2052" max="2052" width="22.140625" style="118" bestFit="1" customWidth="1"/>
    <col min="2053" max="2053" width="12.28515625" style="118" customWidth="1"/>
    <col min="2054" max="2054" width="12.5703125" style="118" customWidth="1"/>
    <col min="2055" max="2055" width="12.140625" style="118" customWidth="1"/>
    <col min="2056" max="2056" width="19.7109375" style="118" customWidth="1"/>
    <col min="2057" max="2304" width="9.140625" style="118"/>
    <col min="2305" max="2305" width="7.7109375" style="118" customWidth="1"/>
    <col min="2306" max="2306" width="10.5703125" style="118" customWidth="1"/>
    <col min="2307" max="2307" width="11.140625" style="118" bestFit="1" customWidth="1"/>
    <col min="2308" max="2308" width="22.140625" style="118" bestFit="1" customWidth="1"/>
    <col min="2309" max="2309" width="12.28515625" style="118" customWidth="1"/>
    <col min="2310" max="2310" width="12.5703125" style="118" customWidth="1"/>
    <col min="2311" max="2311" width="12.140625" style="118" customWidth="1"/>
    <col min="2312" max="2312" width="19.7109375" style="118" customWidth="1"/>
    <col min="2313" max="2560" width="9.140625" style="118"/>
    <col min="2561" max="2561" width="7.7109375" style="118" customWidth="1"/>
    <col min="2562" max="2562" width="10.5703125" style="118" customWidth="1"/>
    <col min="2563" max="2563" width="11.140625" style="118" bestFit="1" customWidth="1"/>
    <col min="2564" max="2564" width="22.140625" style="118" bestFit="1" customWidth="1"/>
    <col min="2565" max="2565" width="12.28515625" style="118" customWidth="1"/>
    <col min="2566" max="2566" width="12.5703125" style="118" customWidth="1"/>
    <col min="2567" max="2567" width="12.140625" style="118" customWidth="1"/>
    <col min="2568" max="2568" width="19.7109375" style="118" customWidth="1"/>
    <col min="2569" max="2816" width="9.140625" style="118"/>
    <col min="2817" max="2817" width="7.7109375" style="118" customWidth="1"/>
    <col min="2818" max="2818" width="10.5703125" style="118" customWidth="1"/>
    <col min="2819" max="2819" width="11.140625" style="118" bestFit="1" customWidth="1"/>
    <col min="2820" max="2820" width="22.140625" style="118" bestFit="1" customWidth="1"/>
    <col min="2821" max="2821" width="12.28515625" style="118" customWidth="1"/>
    <col min="2822" max="2822" width="12.5703125" style="118" customWidth="1"/>
    <col min="2823" max="2823" width="12.140625" style="118" customWidth="1"/>
    <col min="2824" max="2824" width="19.7109375" style="118" customWidth="1"/>
    <col min="2825" max="3072" width="9.140625" style="118"/>
    <col min="3073" max="3073" width="7.7109375" style="118" customWidth="1"/>
    <col min="3074" max="3074" width="10.5703125" style="118" customWidth="1"/>
    <col min="3075" max="3075" width="11.140625" style="118" bestFit="1" customWidth="1"/>
    <col min="3076" max="3076" width="22.140625" style="118" bestFit="1" customWidth="1"/>
    <col min="3077" max="3077" width="12.28515625" style="118" customWidth="1"/>
    <col min="3078" max="3078" width="12.5703125" style="118" customWidth="1"/>
    <col min="3079" max="3079" width="12.140625" style="118" customWidth="1"/>
    <col min="3080" max="3080" width="19.7109375" style="118" customWidth="1"/>
    <col min="3081" max="3328" width="9.140625" style="118"/>
    <col min="3329" max="3329" width="7.7109375" style="118" customWidth="1"/>
    <col min="3330" max="3330" width="10.5703125" style="118" customWidth="1"/>
    <col min="3331" max="3331" width="11.140625" style="118" bestFit="1" customWidth="1"/>
    <col min="3332" max="3332" width="22.140625" style="118" bestFit="1" customWidth="1"/>
    <col min="3333" max="3333" width="12.28515625" style="118" customWidth="1"/>
    <col min="3334" max="3334" width="12.5703125" style="118" customWidth="1"/>
    <col min="3335" max="3335" width="12.140625" style="118" customWidth="1"/>
    <col min="3336" max="3336" width="19.7109375" style="118" customWidth="1"/>
    <col min="3337" max="3584" width="9.140625" style="118"/>
    <col min="3585" max="3585" width="7.7109375" style="118" customWidth="1"/>
    <col min="3586" max="3586" width="10.5703125" style="118" customWidth="1"/>
    <col min="3587" max="3587" width="11.140625" style="118" bestFit="1" customWidth="1"/>
    <col min="3588" max="3588" width="22.140625" style="118" bestFit="1" customWidth="1"/>
    <col min="3589" max="3589" width="12.28515625" style="118" customWidth="1"/>
    <col min="3590" max="3590" width="12.5703125" style="118" customWidth="1"/>
    <col min="3591" max="3591" width="12.140625" style="118" customWidth="1"/>
    <col min="3592" max="3592" width="19.7109375" style="118" customWidth="1"/>
    <col min="3593" max="3840" width="9.140625" style="118"/>
    <col min="3841" max="3841" width="7.7109375" style="118" customWidth="1"/>
    <col min="3842" max="3842" width="10.5703125" style="118" customWidth="1"/>
    <col min="3843" max="3843" width="11.140625" style="118" bestFit="1" customWidth="1"/>
    <col min="3844" max="3844" width="22.140625" style="118" bestFit="1" customWidth="1"/>
    <col min="3845" max="3845" width="12.28515625" style="118" customWidth="1"/>
    <col min="3846" max="3846" width="12.5703125" style="118" customWidth="1"/>
    <col min="3847" max="3847" width="12.140625" style="118" customWidth="1"/>
    <col min="3848" max="3848" width="19.7109375" style="118" customWidth="1"/>
    <col min="3849" max="4096" width="9.140625" style="118"/>
    <col min="4097" max="4097" width="7.7109375" style="118" customWidth="1"/>
    <col min="4098" max="4098" width="10.5703125" style="118" customWidth="1"/>
    <col min="4099" max="4099" width="11.140625" style="118" bestFit="1" customWidth="1"/>
    <col min="4100" max="4100" width="22.140625" style="118" bestFit="1" customWidth="1"/>
    <col min="4101" max="4101" width="12.28515625" style="118" customWidth="1"/>
    <col min="4102" max="4102" width="12.5703125" style="118" customWidth="1"/>
    <col min="4103" max="4103" width="12.140625" style="118" customWidth="1"/>
    <col min="4104" max="4104" width="19.7109375" style="118" customWidth="1"/>
    <col min="4105" max="4352" width="9.140625" style="118"/>
    <col min="4353" max="4353" width="7.7109375" style="118" customWidth="1"/>
    <col min="4354" max="4354" width="10.5703125" style="118" customWidth="1"/>
    <col min="4355" max="4355" width="11.140625" style="118" bestFit="1" customWidth="1"/>
    <col min="4356" max="4356" width="22.140625" style="118" bestFit="1" customWidth="1"/>
    <col min="4357" max="4357" width="12.28515625" style="118" customWidth="1"/>
    <col min="4358" max="4358" width="12.5703125" style="118" customWidth="1"/>
    <col min="4359" max="4359" width="12.140625" style="118" customWidth="1"/>
    <col min="4360" max="4360" width="19.7109375" style="118" customWidth="1"/>
    <col min="4361" max="4608" width="9.140625" style="118"/>
    <col min="4609" max="4609" width="7.7109375" style="118" customWidth="1"/>
    <col min="4610" max="4610" width="10.5703125" style="118" customWidth="1"/>
    <col min="4611" max="4611" width="11.140625" style="118" bestFit="1" customWidth="1"/>
    <col min="4612" max="4612" width="22.140625" style="118" bestFit="1" customWidth="1"/>
    <col min="4613" max="4613" width="12.28515625" style="118" customWidth="1"/>
    <col min="4614" max="4614" width="12.5703125" style="118" customWidth="1"/>
    <col min="4615" max="4615" width="12.140625" style="118" customWidth="1"/>
    <col min="4616" max="4616" width="19.7109375" style="118" customWidth="1"/>
    <col min="4617" max="4864" width="9.140625" style="118"/>
    <col min="4865" max="4865" width="7.7109375" style="118" customWidth="1"/>
    <col min="4866" max="4866" width="10.5703125" style="118" customWidth="1"/>
    <col min="4867" max="4867" width="11.140625" style="118" bestFit="1" customWidth="1"/>
    <col min="4868" max="4868" width="22.140625" style="118" bestFit="1" customWidth="1"/>
    <col min="4869" max="4869" width="12.28515625" style="118" customWidth="1"/>
    <col min="4870" max="4870" width="12.5703125" style="118" customWidth="1"/>
    <col min="4871" max="4871" width="12.140625" style="118" customWidth="1"/>
    <col min="4872" max="4872" width="19.7109375" style="118" customWidth="1"/>
    <col min="4873" max="5120" width="9.140625" style="118"/>
    <col min="5121" max="5121" width="7.7109375" style="118" customWidth="1"/>
    <col min="5122" max="5122" width="10.5703125" style="118" customWidth="1"/>
    <col min="5123" max="5123" width="11.140625" style="118" bestFit="1" customWidth="1"/>
    <col min="5124" max="5124" width="22.140625" style="118" bestFit="1" customWidth="1"/>
    <col min="5125" max="5125" width="12.28515625" style="118" customWidth="1"/>
    <col min="5126" max="5126" width="12.5703125" style="118" customWidth="1"/>
    <col min="5127" max="5127" width="12.140625" style="118" customWidth="1"/>
    <col min="5128" max="5128" width="19.7109375" style="118" customWidth="1"/>
    <col min="5129" max="5376" width="9.140625" style="118"/>
    <col min="5377" max="5377" width="7.7109375" style="118" customWidth="1"/>
    <col min="5378" max="5378" width="10.5703125" style="118" customWidth="1"/>
    <col min="5379" max="5379" width="11.140625" style="118" bestFit="1" customWidth="1"/>
    <col min="5380" max="5380" width="22.140625" style="118" bestFit="1" customWidth="1"/>
    <col min="5381" max="5381" width="12.28515625" style="118" customWidth="1"/>
    <col min="5382" max="5382" width="12.5703125" style="118" customWidth="1"/>
    <col min="5383" max="5383" width="12.140625" style="118" customWidth="1"/>
    <col min="5384" max="5384" width="19.7109375" style="118" customWidth="1"/>
    <col min="5385" max="5632" width="9.140625" style="118"/>
    <col min="5633" max="5633" width="7.7109375" style="118" customWidth="1"/>
    <col min="5634" max="5634" width="10.5703125" style="118" customWidth="1"/>
    <col min="5635" max="5635" width="11.140625" style="118" bestFit="1" customWidth="1"/>
    <col min="5636" max="5636" width="22.140625" style="118" bestFit="1" customWidth="1"/>
    <col min="5637" max="5637" width="12.28515625" style="118" customWidth="1"/>
    <col min="5638" max="5638" width="12.5703125" style="118" customWidth="1"/>
    <col min="5639" max="5639" width="12.140625" style="118" customWidth="1"/>
    <col min="5640" max="5640" width="19.7109375" style="118" customWidth="1"/>
    <col min="5641" max="5888" width="9.140625" style="118"/>
    <col min="5889" max="5889" width="7.7109375" style="118" customWidth="1"/>
    <col min="5890" max="5890" width="10.5703125" style="118" customWidth="1"/>
    <col min="5891" max="5891" width="11.140625" style="118" bestFit="1" customWidth="1"/>
    <col min="5892" max="5892" width="22.140625" style="118" bestFit="1" customWidth="1"/>
    <col min="5893" max="5893" width="12.28515625" style="118" customWidth="1"/>
    <col min="5894" max="5894" width="12.5703125" style="118" customWidth="1"/>
    <col min="5895" max="5895" width="12.140625" style="118" customWidth="1"/>
    <col min="5896" max="5896" width="19.7109375" style="118" customWidth="1"/>
    <col min="5897" max="6144" width="9.140625" style="118"/>
    <col min="6145" max="6145" width="7.7109375" style="118" customWidth="1"/>
    <col min="6146" max="6146" width="10.5703125" style="118" customWidth="1"/>
    <col min="6147" max="6147" width="11.140625" style="118" bestFit="1" customWidth="1"/>
    <col min="6148" max="6148" width="22.140625" style="118" bestFit="1" customWidth="1"/>
    <col min="6149" max="6149" width="12.28515625" style="118" customWidth="1"/>
    <col min="6150" max="6150" width="12.5703125" style="118" customWidth="1"/>
    <col min="6151" max="6151" width="12.140625" style="118" customWidth="1"/>
    <col min="6152" max="6152" width="19.7109375" style="118" customWidth="1"/>
    <col min="6153" max="6400" width="9.140625" style="118"/>
    <col min="6401" max="6401" width="7.7109375" style="118" customWidth="1"/>
    <col min="6402" max="6402" width="10.5703125" style="118" customWidth="1"/>
    <col min="6403" max="6403" width="11.140625" style="118" bestFit="1" customWidth="1"/>
    <col min="6404" max="6404" width="22.140625" style="118" bestFit="1" customWidth="1"/>
    <col min="6405" max="6405" width="12.28515625" style="118" customWidth="1"/>
    <col min="6406" max="6406" width="12.5703125" style="118" customWidth="1"/>
    <col min="6407" max="6407" width="12.140625" style="118" customWidth="1"/>
    <col min="6408" max="6408" width="19.7109375" style="118" customWidth="1"/>
    <col min="6409" max="6656" width="9.140625" style="118"/>
    <col min="6657" max="6657" width="7.7109375" style="118" customWidth="1"/>
    <col min="6658" max="6658" width="10.5703125" style="118" customWidth="1"/>
    <col min="6659" max="6659" width="11.140625" style="118" bestFit="1" customWidth="1"/>
    <col min="6660" max="6660" width="22.140625" style="118" bestFit="1" customWidth="1"/>
    <col min="6661" max="6661" width="12.28515625" style="118" customWidth="1"/>
    <col min="6662" max="6662" width="12.5703125" style="118" customWidth="1"/>
    <col min="6663" max="6663" width="12.140625" style="118" customWidth="1"/>
    <col min="6664" max="6664" width="19.7109375" style="118" customWidth="1"/>
    <col min="6665" max="6912" width="9.140625" style="118"/>
    <col min="6913" max="6913" width="7.7109375" style="118" customWidth="1"/>
    <col min="6914" max="6914" width="10.5703125" style="118" customWidth="1"/>
    <col min="6915" max="6915" width="11.140625" style="118" bestFit="1" customWidth="1"/>
    <col min="6916" max="6916" width="22.140625" style="118" bestFit="1" customWidth="1"/>
    <col min="6917" max="6917" width="12.28515625" style="118" customWidth="1"/>
    <col min="6918" max="6918" width="12.5703125" style="118" customWidth="1"/>
    <col min="6919" max="6919" width="12.140625" style="118" customWidth="1"/>
    <col min="6920" max="6920" width="19.7109375" style="118" customWidth="1"/>
    <col min="6921" max="7168" width="9.140625" style="118"/>
    <col min="7169" max="7169" width="7.7109375" style="118" customWidth="1"/>
    <col min="7170" max="7170" width="10.5703125" style="118" customWidth="1"/>
    <col min="7171" max="7171" width="11.140625" style="118" bestFit="1" customWidth="1"/>
    <col min="7172" max="7172" width="22.140625" style="118" bestFit="1" customWidth="1"/>
    <col min="7173" max="7173" width="12.28515625" style="118" customWidth="1"/>
    <col min="7174" max="7174" width="12.5703125" style="118" customWidth="1"/>
    <col min="7175" max="7175" width="12.140625" style="118" customWidth="1"/>
    <col min="7176" max="7176" width="19.7109375" style="118" customWidth="1"/>
    <col min="7177" max="7424" width="9.140625" style="118"/>
    <col min="7425" max="7425" width="7.7109375" style="118" customWidth="1"/>
    <col min="7426" max="7426" width="10.5703125" style="118" customWidth="1"/>
    <col min="7427" max="7427" width="11.140625" style="118" bestFit="1" customWidth="1"/>
    <col min="7428" max="7428" width="22.140625" style="118" bestFit="1" customWidth="1"/>
    <col min="7429" max="7429" width="12.28515625" style="118" customWidth="1"/>
    <col min="7430" max="7430" width="12.5703125" style="118" customWidth="1"/>
    <col min="7431" max="7431" width="12.140625" style="118" customWidth="1"/>
    <col min="7432" max="7432" width="19.7109375" style="118" customWidth="1"/>
    <col min="7433" max="7680" width="9.140625" style="118"/>
    <col min="7681" max="7681" width="7.7109375" style="118" customWidth="1"/>
    <col min="7682" max="7682" width="10.5703125" style="118" customWidth="1"/>
    <col min="7683" max="7683" width="11.140625" style="118" bestFit="1" customWidth="1"/>
    <col min="7684" max="7684" width="22.140625" style="118" bestFit="1" customWidth="1"/>
    <col min="7685" max="7685" width="12.28515625" style="118" customWidth="1"/>
    <col min="7686" max="7686" width="12.5703125" style="118" customWidth="1"/>
    <col min="7687" max="7687" width="12.140625" style="118" customWidth="1"/>
    <col min="7688" max="7688" width="19.7109375" style="118" customWidth="1"/>
    <col min="7689" max="7936" width="9.140625" style="118"/>
    <col min="7937" max="7937" width="7.7109375" style="118" customWidth="1"/>
    <col min="7938" max="7938" width="10.5703125" style="118" customWidth="1"/>
    <col min="7939" max="7939" width="11.140625" style="118" bestFit="1" customWidth="1"/>
    <col min="7940" max="7940" width="22.140625" style="118" bestFit="1" customWidth="1"/>
    <col min="7941" max="7941" width="12.28515625" style="118" customWidth="1"/>
    <col min="7942" max="7942" width="12.5703125" style="118" customWidth="1"/>
    <col min="7943" max="7943" width="12.140625" style="118" customWidth="1"/>
    <col min="7944" max="7944" width="19.7109375" style="118" customWidth="1"/>
    <col min="7945" max="8192" width="9.140625" style="118"/>
    <col min="8193" max="8193" width="7.7109375" style="118" customWidth="1"/>
    <col min="8194" max="8194" width="10.5703125" style="118" customWidth="1"/>
    <col min="8195" max="8195" width="11.140625" style="118" bestFit="1" customWidth="1"/>
    <col min="8196" max="8196" width="22.140625" style="118" bestFit="1" customWidth="1"/>
    <col min="8197" max="8197" width="12.28515625" style="118" customWidth="1"/>
    <col min="8198" max="8198" width="12.5703125" style="118" customWidth="1"/>
    <col min="8199" max="8199" width="12.140625" style="118" customWidth="1"/>
    <col min="8200" max="8200" width="19.7109375" style="118" customWidth="1"/>
    <col min="8201" max="8448" width="9.140625" style="118"/>
    <col min="8449" max="8449" width="7.7109375" style="118" customWidth="1"/>
    <col min="8450" max="8450" width="10.5703125" style="118" customWidth="1"/>
    <col min="8451" max="8451" width="11.140625" style="118" bestFit="1" customWidth="1"/>
    <col min="8452" max="8452" width="22.140625" style="118" bestFit="1" customWidth="1"/>
    <col min="8453" max="8453" width="12.28515625" style="118" customWidth="1"/>
    <col min="8454" max="8454" width="12.5703125" style="118" customWidth="1"/>
    <col min="8455" max="8455" width="12.140625" style="118" customWidth="1"/>
    <col min="8456" max="8456" width="19.7109375" style="118" customWidth="1"/>
    <col min="8457" max="8704" width="9.140625" style="118"/>
    <col min="8705" max="8705" width="7.7109375" style="118" customWidth="1"/>
    <col min="8706" max="8706" width="10.5703125" style="118" customWidth="1"/>
    <col min="8707" max="8707" width="11.140625" style="118" bestFit="1" customWidth="1"/>
    <col min="8708" max="8708" width="22.140625" style="118" bestFit="1" customWidth="1"/>
    <col min="8709" max="8709" width="12.28515625" style="118" customWidth="1"/>
    <col min="8710" max="8710" width="12.5703125" style="118" customWidth="1"/>
    <col min="8711" max="8711" width="12.140625" style="118" customWidth="1"/>
    <col min="8712" max="8712" width="19.7109375" style="118" customWidth="1"/>
    <col min="8713" max="8960" width="9.140625" style="118"/>
    <col min="8961" max="8961" width="7.7109375" style="118" customWidth="1"/>
    <col min="8962" max="8962" width="10.5703125" style="118" customWidth="1"/>
    <col min="8963" max="8963" width="11.140625" style="118" bestFit="1" customWidth="1"/>
    <col min="8964" max="8964" width="22.140625" style="118" bestFit="1" customWidth="1"/>
    <col min="8965" max="8965" width="12.28515625" style="118" customWidth="1"/>
    <col min="8966" max="8966" width="12.5703125" style="118" customWidth="1"/>
    <col min="8967" max="8967" width="12.140625" style="118" customWidth="1"/>
    <col min="8968" max="8968" width="19.7109375" style="118" customWidth="1"/>
    <col min="8969" max="9216" width="9.140625" style="118"/>
    <col min="9217" max="9217" width="7.7109375" style="118" customWidth="1"/>
    <col min="9218" max="9218" width="10.5703125" style="118" customWidth="1"/>
    <col min="9219" max="9219" width="11.140625" style="118" bestFit="1" customWidth="1"/>
    <col min="9220" max="9220" width="22.140625" style="118" bestFit="1" customWidth="1"/>
    <col min="9221" max="9221" width="12.28515625" style="118" customWidth="1"/>
    <col min="9222" max="9222" width="12.5703125" style="118" customWidth="1"/>
    <col min="9223" max="9223" width="12.140625" style="118" customWidth="1"/>
    <col min="9224" max="9224" width="19.7109375" style="118" customWidth="1"/>
    <col min="9225" max="9472" width="9.140625" style="118"/>
    <col min="9473" max="9473" width="7.7109375" style="118" customWidth="1"/>
    <col min="9474" max="9474" width="10.5703125" style="118" customWidth="1"/>
    <col min="9475" max="9475" width="11.140625" style="118" bestFit="1" customWidth="1"/>
    <col min="9476" max="9476" width="22.140625" style="118" bestFit="1" customWidth="1"/>
    <col min="9477" max="9477" width="12.28515625" style="118" customWidth="1"/>
    <col min="9478" max="9478" width="12.5703125" style="118" customWidth="1"/>
    <col min="9479" max="9479" width="12.140625" style="118" customWidth="1"/>
    <col min="9480" max="9480" width="19.7109375" style="118" customWidth="1"/>
    <col min="9481" max="9728" width="9.140625" style="118"/>
    <col min="9729" max="9729" width="7.7109375" style="118" customWidth="1"/>
    <col min="9730" max="9730" width="10.5703125" style="118" customWidth="1"/>
    <col min="9731" max="9731" width="11.140625" style="118" bestFit="1" customWidth="1"/>
    <col min="9732" max="9732" width="22.140625" style="118" bestFit="1" customWidth="1"/>
    <col min="9733" max="9733" width="12.28515625" style="118" customWidth="1"/>
    <col min="9734" max="9734" width="12.5703125" style="118" customWidth="1"/>
    <col min="9735" max="9735" width="12.140625" style="118" customWidth="1"/>
    <col min="9736" max="9736" width="19.7109375" style="118" customWidth="1"/>
    <col min="9737" max="9984" width="9.140625" style="118"/>
    <col min="9985" max="9985" width="7.7109375" style="118" customWidth="1"/>
    <col min="9986" max="9986" width="10.5703125" style="118" customWidth="1"/>
    <col min="9987" max="9987" width="11.140625" style="118" bestFit="1" customWidth="1"/>
    <col min="9988" max="9988" width="22.140625" style="118" bestFit="1" customWidth="1"/>
    <col min="9989" max="9989" width="12.28515625" style="118" customWidth="1"/>
    <col min="9990" max="9990" width="12.5703125" style="118" customWidth="1"/>
    <col min="9991" max="9991" width="12.140625" style="118" customWidth="1"/>
    <col min="9992" max="9992" width="19.7109375" style="118" customWidth="1"/>
    <col min="9993" max="10240" width="9.140625" style="118"/>
    <col min="10241" max="10241" width="7.7109375" style="118" customWidth="1"/>
    <col min="10242" max="10242" width="10.5703125" style="118" customWidth="1"/>
    <col min="10243" max="10243" width="11.140625" style="118" bestFit="1" customWidth="1"/>
    <col min="10244" max="10244" width="22.140625" style="118" bestFit="1" customWidth="1"/>
    <col min="10245" max="10245" width="12.28515625" style="118" customWidth="1"/>
    <col min="10246" max="10246" width="12.5703125" style="118" customWidth="1"/>
    <col min="10247" max="10247" width="12.140625" style="118" customWidth="1"/>
    <col min="10248" max="10248" width="19.7109375" style="118" customWidth="1"/>
    <col min="10249" max="10496" width="9.140625" style="118"/>
    <col min="10497" max="10497" width="7.7109375" style="118" customWidth="1"/>
    <col min="10498" max="10498" width="10.5703125" style="118" customWidth="1"/>
    <col min="10499" max="10499" width="11.140625" style="118" bestFit="1" customWidth="1"/>
    <col min="10500" max="10500" width="22.140625" style="118" bestFit="1" customWidth="1"/>
    <col min="10501" max="10501" width="12.28515625" style="118" customWidth="1"/>
    <col min="10502" max="10502" width="12.5703125" style="118" customWidth="1"/>
    <col min="10503" max="10503" width="12.140625" style="118" customWidth="1"/>
    <col min="10504" max="10504" width="19.7109375" style="118" customWidth="1"/>
    <col min="10505" max="10752" width="9.140625" style="118"/>
    <col min="10753" max="10753" width="7.7109375" style="118" customWidth="1"/>
    <col min="10754" max="10754" width="10.5703125" style="118" customWidth="1"/>
    <col min="10755" max="10755" width="11.140625" style="118" bestFit="1" customWidth="1"/>
    <col min="10756" max="10756" width="22.140625" style="118" bestFit="1" customWidth="1"/>
    <col min="10757" max="10757" width="12.28515625" style="118" customWidth="1"/>
    <col min="10758" max="10758" width="12.5703125" style="118" customWidth="1"/>
    <col min="10759" max="10759" width="12.140625" style="118" customWidth="1"/>
    <col min="10760" max="10760" width="19.7109375" style="118" customWidth="1"/>
    <col min="10761" max="11008" width="9.140625" style="118"/>
    <col min="11009" max="11009" width="7.7109375" style="118" customWidth="1"/>
    <col min="11010" max="11010" width="10.5703125" style="118" customWidth="1"/>
    <col min="11011" max="11011" width="11.140625" style="118" bestFit="1" customWidth="1"/>
    <col min="11012" max="11012" width="22.140625" style="118" bestFit="1" customWidth="1"/>
    <col min="11013" max="11013" width="12.28515625" style="118" customWidth="1"/>
    <col min="11014" max="11014" width="12.5703125" style="118" customWidth="1"/>
    <col min="11015" max="11015" width="12.140625" style="118" customWidth="1"/>
    <col min="11016" max="11016" width="19.7109375" style="118" customWidth="1"/>
    <col min="11017" max="11264" width="9.140625" style="118"/>
    <col min="11265" max="11265" width="7.7109375" style="118" customWidth="1"/>
    <col min="11266" max="11266" width="10.5703125" style="118" customWidth="1"/>
    <col min="11267" max="11267" width="11.140625" style="118" bestFit="1" customWidth="1"/>
    <col min="11268" max="11268" width="22.140625" style="118" bestFit="1" customWidth="1"/>
    <col min="11269" max="11269" width="12.28515625" style="118" customWidth="1"/>
    <col min="11270" max="11270" width="12.5703125" style="118" customWidth="1"/>
    <col min="11271" max="11271" width="12.140625" style="118" customWidth="1"/>
    <col min="11272" max="11272" width="19.7109375" style="118" customWidth="1"/>
    <col min="11273" max="11520" width="9.140625" style="118"/>
    <col min="11521" max="11521" width="7.7109375" style="118" customWidth="1"/>
    <col min="11522" max="11522" width="10.5703125" style="118" customWidth="1"/>
    <col min="11523" max="11523" width="11.140625" style="118" bestFit="1" customWidth="1"/>
    <col min="11524" max="11524" width="22.140625" style="118" bestFit="1" customWidth="1"/>
    <col min="11525" max="11525" width="12.28515625" style="118" customWidth="1"/>
    <col min="11526" max="11526" width="12.5703125" style="118" customWidth="1"/>
    <col min="11527" max="11527" width="12.140625" style="118" customWidth="1"/>
    <col min="11528" max="11528" width="19.7109375" style="118" customWidth="1"/>
    <col min="11529" max="11776" width="9.140625" style="118"/>
    <col min="11777" max="11777" width="7.7109375" style="118" customWidth="1"/>
    <col min="11778" max="11778" width="10.5703125" style="118" customWidth="1"/>
    <col min="11779" max="11779" width="11.140625" style="118" bestFit="1" customWidth="1"/>
    <col min="11780" max="11780" width="22.140625" style="118" bestFit="1" customWidth="1"/>
    <col min="11781" max="11781" width="12.28515625" style="118" customWidth="1"/>
    <col min="11782" max="11782" width="12.5703125" style="118" customWidth="1"/>
    <col min="11783" max="11783" width="12.140625" style="118" customWidth="1"/>
    <col min="11784" max="11784" width="19.7109375" style="118" customWidth="1"/>
    <col min="11785" max="12032" width="9.140625" style="118"/>
    <col min="12033" max="12033" width="7.7109375" style="118" customWidth="1"/>
    <col min="12034" max="12034" width="10.5703125" style="118" customWidth="1"/>
    <col min="12035" max="12035" width="11.140625" style="118" bestFit="1" customWidth="1"/>
    <col min="12036" max="12036" width="22.140625" style="118" bestFit="1" customWidth="1"/>
    <col min="12037" max="12037" width="12.28515625" style="118" customWidth="1"/>
    <col min="12038" max="12038" width="12.5703125" style="118" customWidth="1"/>
    <col min="12039" max="12039" width="12.140625" style="118" customWidth="1"/>
    <col min="12040" max="12040" width="19.7109375" style="118" customWidth="1"/>
    <col min="12041" max="12288" width="9.140625" style="118"/>
    <col min="12289" max="12289" width="7.7109375" style="118" customWidth="1"/>
    <col min="12290" max="12290" width="10.5703125" style="118" customWidth="1"/>
    <col min="12291" max="12291" width="11.140625" style="118" bestFit="1" customWidth="1"/>
    <col min="12292" max="12292" width="22.140625" style="118" bestFit="1" customWidth="1"/>
    <col min="12293" max="12293" width="12.28515625" style="118" customWidth="1"/>
    <col min="12294" max="12294" width="12.5703125" style="118" customWidth="1"/>
    <col min="12295" max="12295" width="12.140625" style="118" customWidth="1"/>
    <col min="12296" max="12296" width="19.7109375" style="118" customWidth="1"/>
    <col min="12297" max="12544" width="9.140625" style="118"/>
    <col min="12545" max="12545" width="7.7109375" style="118" customWidth="1"/>
    <col min="12546" max="12546" width="10.5703125" style="118" customWidth="1"/>
    <col min="12547" max="12547" width="11.140625" style="118" bestFit="1" customWidth="1"/>
    <col min="12548" max="12548" width="22.140625" style="118" bestFit="1" customWidth="1"/>
    <col min="12549" max="12549" width="12.28515625" style="118" customWidth="1"/>
    <col min="12550" max="12550" width="12.5703125" style="118" customWidth="1"/>
    <col min="12551" max="12551" width="12.140625" style="118" customWidth="1"/>
    <col min="12552" max="12552" width="19.7109375" style="118" customWidth="1"/>
    <col min="12553" max="12800" width="9.140625" style="118"/>
    <col min="12801" max="12801" width="7.7109375" style="118" customWidth="1"/>
    <col min="12802" max="12802" width="10.5703125" style="118" customWidth="1"/>
    <col min="12803" max="12803" width="11.140625" style="118" bestFit="1" customWidth="1"/>
    <col min="12804" max="12804" width="22.140625" style="118" bestFit="1" customWidth="1"/>
    <col min="12805" max="12805" width="12.28515625" style="118" customWidth="1"/>
    <col min="12806" max="12806" width="12.5703125" style="118" customWidth="1"/>
    <col min="12807" max="12807" width="12.140625" style="118" customWidth="1"/>
    <col min="12808" max="12808" width="19.7109375" style="118" customWidth="1"/>
    <col min="12809" max="13056" width="9.140625" style="118"/>
    <col min="13057" max="13057" width="7.7109375" style="118" customWidth="1"/>
    <col min="13058" max="13058" width="10.5703125" style="118" customWidth="1"/>
    <col min="13059" max="13059" width="11.140625" style="118" bestFit="1" customWidth="1"/>
    <col min="13060" max="13060" width="22.140625" style="118" bestFit="1" customWidth="1"/>
    <col min="13061" max="13061" width="12.28515625" style="118" customWidth="1"/>
    <col min="13062" max="13062" width="12.5703125" style="118" customWidth="1"/>
    <col min="13063" max="13063" width="12.140625" style="118" customWidth="1"/>
    <col min="13064" max="13064" width="19.7109375" style="118" customWidth="1"/>
    <col min="13065" max="13312" width="9.140625" style="118"/>
    <col min="13313" max="13313" width="7.7109375" style="118" customWidth="1"/>
    <col min="13314" max="13314" width="10.5703125" style="118" customWidth="1"/>
    <col min="13315" max="13315" width="11.140625" style="118" bestFit="1" customWidth="1"/>
    <col min="13316" max="13316" width="22.140625" style="118" bestFit="1" customWidth="1"/>
    <col min="13317" max="13317" width="12.28515625" style="118" customWidth="1"/>
    <col min="13318" max="13318" width="12.5703125" style="118" customWidth="1"/>
    <col min="13319" max="13319" width="12.140625" style="118" customWidth="1"/>
    <col min="13320" max="13320" width="19.7109375" style="118" customWidth="1"/>
    <col min="13321" max="13568" width="9.140625" style="118"/>
    <col min="13569" max="13569" width="7.7109375" style="118" customWidth="1"/>
    <col min="13570" max="13570" width="10.5703125" style="118" customWidth="1"/>
    <col min="13571" max="13571" width="11.140625" style="118" bestFit="1" customWidth="1"/>
    <col min="13572" max="13572" width="22.140625" style="118" bestFit="1" customWidth="1"/>
    <col min="13573" max="13573" width="12.28515625" style="118" customWidth="1"/>
    <col min="13574" max="13574" width="12.5703125" style="118" customWidth="1"/>
    <col min="13575" max="13575" width="12.140625" style="118" customWidth="1"/>
    <col min="13576" max="13576" width="19.7109375" style="118" customWidth="1"/>
    <col min="13577" max="13824" width="9.140625" style="118"/>
    <col min="13825" max="13825" width="7.7109375" style="118" customWidth="1"/>
    <col min="13826" max="13826" width="10.5703125" style="118" customWidth="1"/>
    <col min="13827" max="13827" width="11.140625" style="118" bestFit="1" customWidth="1"/>
    <col min="13828" max="13828" width="22.140625" style="118" bestFit="1" customWidth="1"/>
    <col min="13829" max="13829" width="12.28515625" style="118" customWidth="1"/>
    <col min="13830" max="13830" width="12.5703125" style="118" customWidth="1"/>
    <col min="13831" max="13831" width="12.140625" style="118" customWidth="1"/>
    <col min="13832" max="13832" width="19.7109375" style="118" customWidth="1"/>
    <col min="13833" max="14080" width="9.140625" style="118"/>
    <col min="14081" max="14081" width="7.7109375" style="118" customWidth="1"/>
    <col min="14082" max="14082" width="10.5703125" style="118" customWidth="1"/>
    <col min="14083" max="14083" width="11.140625" style="118" bestFit="1" customWidth="1"/>
    <col min="14084" max="14084" width="22.140625" style="118" bestFit="1" customWidth="1"/>
    <col min="14085" max="14085" width="12.28515625" style="118" customWidth="1"/>
    <col min="14086" max="14086" width="12.5703125" style="118" customWidth="1"/>
    <col min="14087" max="14087" width="12.140625" style="118" customWidth="1"/>
    <col min="14088" max="14088" width="19.7109375" style="118" customWidth="1"/>
    <col min="14089" max="14336" width="9.140625" style="118"/>
    <col min="14337" max="14337" width="7.7109375" style="118" customWidth="1"/>
    <col min="14338" max="14338" width="10.5703125" style="118" customWidth="1"/>
    <col min="14339" max="14339" width="11.140625" style="118" bestFit="1" customWidth="1"/>
    <col min="14340" max="14340" width="22.140625" style="118" bestFit="1" customWidth="1"/>
    <col min="14341" max="14341" width="12.28515625" style="118" customWidth="1"/>
    <col min="14342" max="14342" width="12.5703125" style="118" customWidth="1"/>
    <col min="14343" max="14343" width="12.140625" style="118" customWidth="1"/>
    <col min="14344" max="14344" width="19.7109375" style="118" customWidth="1"/>
    <col min="14345" max="14592" width="9.140625" style="118"/>
    <col min="14593" max="14593" width="7.7109375" style="118" customWidth="1"/>
    <col min="14594" max="14594" width="10.5703125" style="118" customWidth="1"/>
    <col min="14595" max="14595" width="11.140625" style="118" bestFit="1" customWidth="1"/>
    <col min="14596" max="14596" width="22.140625" style="118" bestFit="1" customWidth="1"/>
    <col min="14597" max="14597" width="12.28515625" style="118" customWidth="1"/>
    <col min="14598" max="14598" width="12.5703125" style="118" customWidth="1"/>
    <col min="14599" max="14599" width="12.140625" style="118" customWidth="1"/>
    <col min="14600" max="14600" width="19.7109375" style="118" customWidth="1"/>
    <col min="14601" max="14848" width="9.140625" style="118"/>
    <col min="14849" max="14849" width="7.7109375" style="118" customWidth="1"/>
    <col min="14850" max="14850" width="10.5703125" style="118" customWidth="1"/>
    <col min="14851" max="14851" width="11.140625" style="118" bestFit="1" customWidth="1"/>
    <col min="14852" max="14852" width="22.140625" style="118" bestFit="1" customWidth="1"/>
    <col min="14853" max="14853" width="12.28515625" style="118" customWidth="1"/>
    <col min="14854" max="14854" width="12.5703125" style="118" customWidth="1"/>
    <col min="14855" max="14855" width="12.140625" style="118" customWidth="1"/>
    <col min="14856" max="14856" width="19.7109375" style="118" customWidth="1"/>
    <col min="14857" max="15104" width="9.140625" style="118"/>
    <col min="15105" max="15105" width="7.7109375" style="118" customWidth="1"/>
    <col min="15106" max="15106" width="10.5703125" style="118" customWidth="1"/>
    <col min="15107" max="15107" width="11.140625" style="118" bestFit="1" customWidth="1"/>
    <col min="15108" max="15108" width="22.140625" style="118" bestFit="1" customWidth="1"/>
    <col min="15109" max="15109" width="12.28515625" style="118" customWidth="1"/>
    <col min="15110" max="15110" width="12.5703125" style="118" customWidth="1"/>
    <col min="15111" max="15111" width="12.140625" style="118" customWidth="1"/>
    <col min="15112" max="15112" width="19.7109375" style="118" customWidth="1"/>
    <col min="15113" max="15360" width="9.140625" style="118"/>
    <col min="15361" max="15361" width="7.7109375" style="118" customWidth="1"/>
    <col min="15362" max="15362" width="10.5703125" style="118" customWidth="1"/>
    <col min="15363" max="15363" width="11.140625" style="118" bestFit="1" customWidth="1"/>
    <col min="15364" max="15364" width="22.140625" style="118" bestFit="1" customWidth="1"/>
    <col min="15365" max="15365" width="12.28515625" style="118" customWidth="1"/>
    <col min="15366" max="15366" width="12.5703125" style="118" customWidth="1"/>
    <col min="15367" max="15367" width="12.140625" style="118" customWidth="1"/>
    <col min="15368" max="15368" width="19.7109375" style="118" customWidth="1"/>
    <col min="15369" max="15616" width="9.140625" style="118"/>
    <col min="15617" max="15617" width="7.7109375" style="118" customWidth="1"/>
    <col min="15618" max="15618" width="10.5703125" style="118" customWidth="1"/>
    <col min="15619" max="15619" width="11.140625" style="118" bestFit="1" customWidth="1"/>
    <col min="15620" max="15620" width="22.140625" style="118" bestFit="1" customWidth="1"/>
    <col min="15621" max="15621" width="12.28515625" style="118" customWidth="1"/>
    <col min="15622" max="15622" width="12.5703125" style="118" customWidth="1"/>
    <col min="15623" max="15623" width="12.140625" style="118" customWidth="1"/>
    <col min="15624" max="15624" width="19.7109375" style="118" customWidth="1"/>
    <col min="15625" max="15872" width="9.140625" style="118"/>
    <col min="15873" max="15873" width="7.7109375" style="118" customWidth="1"/>
    <col min="15874" max="15874" width="10.5703125" style="118" customWidth="1"/>
    <col min="15875" max="15875" width="11.140625" style="118" bestFit="1" customWidth="1"/>
    <col min="15876" max="15876" width="22.140625" style="118" bestFit="1" customWidth="1"/>
    <col min="15877" max="15877" width="12.28515625" style="118" customWidth="1"/>
    <col min="15878" max="15878" width="12.5703125" style="118" customWidth="1"/>
    <col min="15879" max="15879" width="12.140625" style="118" customWidth="1"/>
    <col min="15880" max="15880" width="19.7109375" style="118" customWidth="1"/>
    <col min="15881" max="16128" width="9.140625" style="118"/>
    <col min="16129" max="16129" width="7.7109375" style="118" customWidth="1"/>
    <col min="16130" max="16130" width="10.5703125" style="118" customWidth="1"/>
    <col min="16131" max="16131" width="11.140625" style="118" bestFit="1" customWidth="1"/>
    <col min="16132" max="16132" width="22.140625" style="118" bestFit="1" customWidth="1"/>
    <col min="16133" max="16133" width="12.28515625" style="118" customWidth="1"/>
    <col min="16134" max="16134" width="12.5703125" style="118" customWidth="1"/>
    <col min="16135" max="16135" width="12.140625" style="118" customWidth="1"/>
    <col min="16136" max="16136" width="19.7109375" style="118" customWidth="1"/>
    <col min="16137" max="16384" width="9.140625" style="118"/>
  </cols>
  <sheetData>
    <row r="1" spans="1:11" s="204" customFormat="1" ht="50.1" customHeight="1">
      <c r="A1" s="4200"/>
      <c r="B1" s="4200"/>
      <c r="C1" s="103"/>
      <c r="D1" s="103"/>
      <c r="E1" s="103"/>
      <c r="F1" s="103"/>
      <c r="G1" s="196" t="s">
        <v>1458</v>
      </c>
    </row>
    <row r="2" spans="1:11" s="204" customFormat="1" ht="30" customHeight="1">
      <c r="A2" s="4099" t="s">
        <v>1424</v>
      </c>
      <c r="B2" s="4099"/>
      <c r="C2" s="4099"/>
      <c r="D2" s="4099"/>
      <c r="E2" s="4099"/>
      <c r="F2" s="4099"/>
      <c r="G2" s="4099"/>
    </row>
    <row r="3" spans="1:11" s="204" customFormat="1" ht="13.5" customHeight="1">
      <c r="A3" s="116"/>
      <c r="B3" s="116"/>
      <c r="C3" s="116"/>
      <c r="D3" s="116"/>
      <c r="E3" s="116"/>
      <c r="F3" s="116"/>
      <c r="G3" s="7" t="s">
        <v>5</v>
      </c>
    </row>
    <row r="4" spans="1:11" s="204" customFormat="1" ht="20.100000000000001" customHeight="1" thickBot="1">
      <c r="A4" s="4201" t="s">
        <v>150</v>
      </c>
      <c r="B4" s="4201"/>
      <c r="C4" s="4201"/>
      <c r="D4" s="4201"/>
      <c r="E4" s="4201"/>
      <c r="F4" s="4201"/>
      <c r="G4" s="4201"/>
      <c r="H4" s="2974"/>
      <c r="I4" s="2974"/>
      <c r="J4" s="2974"/>
      <c r="K4" s="2975"/>
    </row>
    <row r="5" spans="1:11" s="204" customFormat="1" ht="20.100000000000001" customHeight="1">
      <c r="A5" s="4202" t="s">
        <v>0</v>
      </c>
      <c r="B5" s="4204" t="s">
        <v>30</v>
      </c>
      <c r="C5" s="4204" t="s">
        <v>2</v>
      </c>
      <c r="D5" s="4206" t="s">
        <v>1425</v>
      </c>
      <c r="E5" s="4204" t="s">
        <v>1</v>
      </c>
      <c r="F5" s="4204"/>
      <c r="G5" s="4208" t="s">
        <v>86</v>
      </c>
      <c r="H5" s="2975"/>
      <c r="I5" s="2975"/>
      <c r="J5" s="203"/>
    </row>
    <row r="6" spans="1:11" s="204" customFormat="1" ht="20.100000000000001" customHeight="1">
      <c r="A6" s="4203"/>
      <c r="B6" s="4205"/>
      <c r="C6" s="4205"/>
      <c r="D6" s="4207"/>
      <c r="E6" s="2976" t="s">
        <v>132</v>
      </c>
      <c r="F6" s="2976" t="s">
        <v>88</v>
      </c>
      <c r="G6" s="4209"/>
      <c r="H6" s="2975"/>
      <c r="I6" s="2975"/>
      <c r="J6" s="203"/>
    </row>
    <row r="7" spans="1:11" s="204" customFormat="1" ht="24" customHeight="1">
      <c r="A7" s="4210">
        <v>750</v>
      </c>
      <c r="B7" s="4213">
        <v>75095</v>
      </c>
      <c r="C7" s="2977">
        <v>2057</v>
      </c>
      <c r="D7" s="2978">
        <f t="shared" ref="D7" si="0">SUM(E7:F7)</f>
        <v>298291</v>
      </c>
      <c r="E7" s="2979">
        <v>298291</v>
      </c>
      <c r="F7" s="2978">
        <v>0</v>
      </c>
      <c r="G7" s="4216" t="s">
        <v>1426</v>
      </c>
      <c r="H7" s="203"/>
      <c r="I7" s="203"/>
      <c r="J7" s="203"/>
    </row>
    <row r="8" spans="1:11" s="204" customFormat="1" ht="23.25" customHeight="1">
      <c r="A8" s="4211"/>
      <c r="B8" s="4214"/>
      <c r="C8" s="2977">
        <v>2059</v>
      </c>
      <c r="D8" s="2978">
        <f>SUM(E8:F8)</f>
        <v>18064</v>
      </c>
      <c r="E8" s="2979">
        <v>18064</v>
      </c>
      <c r="F8" s="2978">
        <v>0</v>
      </c>
      <c r="G8" s="4217"/>
      <c r="H8" s="203"/>
      <c r="I8" s="203"/>
      <c r="J8" s="203"/>
    </row>
    <row r="9" spans="1:11" s="204" customFormat="1" ht="24" hidden="1" customHeight="1">
      <c r="A9" s="4211"/>
      <c r="B9" s="4214"/>
      <c r="C9" s="2977">
        <v>6257</v>
      </c>
      <c r="D9" s="2978">
        <f t="shared" ref="D9:D14" si="1">SUM(E9:F9)</f>
        <v>0</v>
      </c>
      <c r="E9" s="2979"/>
      <c r="F9" s="2978"/>
      <c r="G9" s="4217"/>
      <c r="H9" s="203"/>
      <c r="I9" s="203"/>
      <c r="J9" s="203"/>
    </row>
    <row r="10" spans="1:11" s="204" customFormat="1" ht="23.25" hidden="1" customHeight="1">
      <c r="A10" s="4211"/>
      <c r="B10" s="4214"/>
      <c r="C10" s="2977">
        <v>6259</v>
      </c>
      <c r="D10" s="2978">
        <f t="shared" si="1"/>
        <v>0</v>
      </c>
      <c r="E10" s="2979"/>
      <c r="F10" s="2978"/>
      <c r="G10" s="4217"/>
      <c r="H10" s="203"/>
      <c r="I10" s="203"/>
      <c r="J10" s="203"/>
    </row>
    <row r="11" spans="1:11" s="204" customFormat="1" ht="23.25" customHeight="1">
      <c r="A11" s="4211"/>
      <c r="B11" s="4214"/>
      <c r="C11" s="2977">
        <v>6257</v>
      </c>
      <c r="D11" s="2978">
        <f t="shared" si="1"/>
        <v>1033512</v>
      </c>
      <c r="E11" s="2979">
        <v>0</v>
      </c>
      <c r="F11" s="2978">
        <v>1033512</v>
      </c>
      <c r="G11" s="4217"/>
      <c r="H11" s="203"/>
      <c r="I11" s="203"/>
      <c r="J11" s="203"/>
    </row>
    <row r="12" spans="1:11" s="204" customFormat="1" ht="23.25" customHeight="1">
      <c r="A12" s="4212"/>
      <c r="B12" s="4215"/>
      <c r="C12" s="2977">
        <v>6259</v>
      </c>
      <c r="D12" s="2978">
        <f t="shared" si="1"/>
        <v>62587</v>
      </c>
      <c r="E12" s="2979">
        <v>0</v>
      </c>
      <c r="F12" s="2978">
        <v>62587</v>
      </c>
      <c r="G12" s="4218"/>
      <c r="H12" s="203"/>
      <c r="I12" s="203"/>
      <c r="J12" s="203"/>
    </row>
    <row r="13" spans="1:11" s="204" customFormat="1" ht="24" customHeight="1">
      <c r="A13" s="4211">
        <v>852</v>
      </c>
      <c r="B13" s="4214">
        <v>85295</v>
      </c>
      <c r="C13" s="2977">
        <v>2057</v>
      </c>
      <c r="D13" s="2978">
        <f t="shared" si="1"/>
        <v>1681242</v>
      </c>
      <c r="E13" s="2979">
        <v>1681242</v>
      </c>
      <c r="F13" s="2978">
        <v>0</v>
      </c>
      <c r="G13" s="4216" t="s">
        <v>1427</v>
      </c>
      <c r="H13" s="203"/>
      <c r="I13" s="203"/>
      <c r="J13" s="203"/>
    </row>
    <row r="14" spans="1:11" s="204" customFormat="1" ht="23.25" customHeight="1">
      <c r="A14" s="4212"/>
      <c r="B14" s="4215"/>
      <c r="C14" s="2977">
        <v>2059</v>
      </c>
      <c r="D14" s="2978">
        <f t="shared" si="1"/>
        <v>313588</v>
      </c>
      <c r="E14" s="2979">
        <v>313588</v>
      </c>
      <c r="F14" s="2978">
        <v>0</v>
      </c>
      <c r="G14" s="4218"/>
      <c r="H14" s="203"/>
      <c r="I14" s="203"/>
      <c r="J14" s="203"/>
    </row>
    <row r="15" spans="1:11" s="204" customFormat="1" ht="24.95" customHeight="1" thickBot="1">
      <c r="A15" s="4219" t="s">
        <v>76</v>
      </c>
      <c r="B15" s="4220"/>
      <c r="C15" s="4220"/>
      <c r="D15" s="2980">
        <f>SUM(D7:D14)</f>
        <v>3407284</v>
      </c>
      <c r="E15" s="2980">
        <f>SUM(E7:E14)</f>
        <v>2311185</v>
      </c>
      <c r="F15" s="2980">
        <f>SUM(F7:F14)</f>
        <v>1096099</v>
      </c>
      <c r="G15" s="2981"/>
      <c r="H15" s="203"/>
      <c r="I15" s="203"/>
      <c r="J15" s="203"/>
    </row>
    <row r="16" spans="1:11" s="204" customFormat="1">
      <c r="A16" s="2982"/>
      <c r="B16" s="2982"/>
      <c r="C16" s="2982"/>
      <c r="D16" s="2983"/>
      <c r="E16" s="2983"/>
      <c r="F16" s="2983"/>
      <c r="G16" s="2984"/>
      <c r="H16" s="203"/>
      <c r="I16" s="203"/>
      <c r="J16" s="203"/>
    </row>
    <row r="17" spans="1:11" s="204" customFormat="1" ht="20.100000000000001" customHeight="1" thickBot="1">
      <c r="A17" s="4201" t="s">
        <v>186</v>
      </c>
      <c r="B17" s="4201"/>
      <c r="C17" s="4201"/>
      <c r="D17" s="4201"/>
      <c r="E17" s="4201"/>
      <c r="F17" s="4201"/>
      <c r="G17" s="4201"/>
      <c r="H17" s="2974"/>
      <c r="I17" s="2974"/>
      <c r="J17" s="2974"/>
      <c r="K17" s="2975"/>
    </row>
    <row r="18" spans="1:11" s="204" customFormat="1" ht="20.100000000000001" customHeight="1">
      <c r="A18" s="4202" t="s">
        <v>0</v>
      </c>
      <c r="B18" s="4204" t="s">
        <v>30</v>
      </c>
      <c r="C18" s="4204" t="s">
        <v>2</v>
      </c>
      <c r="D18" s="4206" t="s">
        <v>1425</v>
      </c>
      <c r="E18" s="4204" t="s">
        <v>1</v>
      </c>
      <c r="F18" s="4204"/>
      <c r="G18" s="4208" t="s">
        <v>86</v>
      </c>
      <c r="H18" s="2975"/>
      <c r="I18" s="2975"/>
      <c r="J18" s="203"/>
    </row>
    <row r="19" spans="1:11" s="204" customFormat="1" ht="20.100000000000001" customHeight="1">
      <c r="A19" s="4203"/>
      <c r="B19" s="4205"/>
      <c r="C19" s="4205"/>
      <c r="D19" s="4207"/>
      <c r="E19" s="2976" t="s">
        <v>132</v>
      </c>
      <c r="F19" s="2976" t="s">
        <v>88</v>
      </c>
      <c r="G19" s="4209"/>
      <c r="H19" s="2975"/>
      <c r="I19" s="2975"/>
      <c r="J19" s="203"/>
    </row>
    <row r="20" spans="1:11" s="204" customFormat="1" ht="24" customHeight="1">
      <c r="A20" s="4210">
        <v>750</v>
      </c>
      <c r="B20" s="4213">
        <v>75095</v>
      </c>
      <c r="C20" s="2977">
        <v>2007</v>
      </c>
      <c r="D20" s="2978">
        <f t="shared" ref="D20:D28" si="2">SUM(E20:F20)</f>
        <v>364350</v>
      </c>
      <c r="E20" s="2979">
        <v>364350</v>
      </c>
      <c r="F20" s="2978">
        <v>0</v>
      </c>
      <c r="G20" s="4216" t="s">
        <v>1426</v>
      </c>
      <c r="H20" s="203"/>
      <c r="I20" s="203"/>
      <c r="J20" s="203"/>
    </row>
    <row r="21" spans="1:11" s="204" customFormat="1" ht="23.25" customHeight="1">
      <c r="A21" s="4211"/>
      <c r="B21" s="4214"/>
      <c r="C21" s="2977">
        <v>2009</v>
      </c>
      <c r="D21" s="2978">
        <f t="shared" si="2"/>
        <v>22065</v>
      </c>
      <c r="E21" s="2979">
        <v>22065</v>
      </c>
      <c r="F21" s="2978">
        <v>0</v>
      </c>
      <c r="G21" s="4217"/>
      <c r="H21" s="203"/>
      <c r="I21" s="203"/>
      <c r="J21" s="203"/>
    </row>
    <row r="22" spans="1:11" s="204" customFormat="1" ht="24" hidden="1" customHeight="1">
      <c r="A22" s="4211"/>
      <c r="B22" s="4214"/>
      <c r="C22" s="2977">
        <v>6207</v>
      </c>
      <c r="D22" s="2978">
        <f t="shared" si="2"/>
        <v>0</v>
      </c>
      <c r="E22" s="2979"/>
      <c r="F22" s="2978"/>
      <c r="G22" s="4217"/>
      <c r="H22" s="203"/>
      <c r="I22" s="203"/>
      <c r="J22" s="203"/>
    </row>
    <row r="23" spans="1:11" s="204" customFormat="1" ht="23.25" hidden="1" customHeight="1">
      <c r="A23" s="4211"/>
      <c r="B23" s="4214"/>
      <c r="C23" s="2977">
        <v>6209</v>
      </c>
      <c r="D23" s="2978">
        <f t="shared" si="2"/>
        <v>0</v>
      </c>
      <c r="E23" s="2979"/>
      <c r="F23" s="2978"/>
      <c r="G23" s="4217"/>
      <c r="H23" s="203"/>
      <c r="I23" s="203"/>
      <c r="J23" s="203"/>
    </row>
    <row r="24" spans="1:11" s="204" customFormat="1" ht="23.25" customHeight="1">
      <c r="A24" s="4211"/>
      <c r="B24" s="4214"/>
      <c r="C24" s="2977">
        <v>6207</v>
      </c>
      <c r="D24" s="2978">
        <f t="shared" si="2"/>
        <v>79501</v>
      </c>
      <c r="E24" s="2979">
        <v>0</v>
      </c>
      <c r="F24" s="2978">
        <v>79501</v>
      </c>
      <c r="G24" s="4217"/>
      <c r="H24" s="203"/>
      <c r="I24" s="203"/>
      <c r="J24" s="203"/>
    </row>
    <row r="25" spans="1:11" s="204" customFormat="1" ht="23.25" customHeight="1">
      <c r="A25" s="4211"/>
      <c r="B25" s="4214"/>
      <c r="C25" s="2977">
        <v>6209</v>
      </c>
      <c r="D25" s="2978">
        <f t="shared" si="2"/>
        <v>4815</v>
      </c>
      <c r="E25" s="2979">
        <v>0</v>
      </c>
      <c r="F25" s="2978">
        <v>4815</v>
      </c>
      <c r="G25" s="4218"/>
      <c r="H25" s="203"/>
      <c r="I25" s="203"/>
      <c r="J25" s="203"/>
    </row>
    <row r="26" spans="1:11" s="204" customFormat="1" ht="24" customHeight="1">
      <c r="A26" s="4211"/>
      <c r="B26" s="4214"/>
      <c r="C26" s="2977">
        <v>2007</v>
      </c>
      <c r="D26" s="2978">
        <f t="shared" si="2"/>
        <v>136767</v>
      </c>
      <c r="E26" s="2979">
        <v>136767</v>
      </c>
      <c r="F26" s="2978">
        <v>0</v>
      </c>
      <c r="G26" s="4216" t="s">
        <v>1428</v>
      </c>
      <c r="H26" s="203"/>
      <c r="I26" s="203"/>
      <c r="J26" s="203"/>
    </row>
    <row r="27" spans="1:11" s="204" customFormat="1" ht="23.25" customHeight="1">
      <c r="A27" s="4212"/>
      <c r="B27" s="4215"/>
      <c r="C27" s="2977">
        <v>2009</v>
      </c>
      <c r="D27" s="2978">
        <f t="shared" si="2"/>
        <v>8593</v>
      </c>
      <c r="E27" s="2979">
        <v>8593</v>
      </c>
      <c r="F27" s="2978">
        <v>0</v>
      </c>
      <c r="G27" s="4218"/>
      <c r="H27" s="203"/>
      <c r="I27" s="203"/>
      <c r="J27" s="203"/>
    </row>
    <row r="28" spans="1:11" s="204" customFormat="1" ht="25.5">
      <c r="A28" s="2985">
        <v>853</v>
      </c>
      <c r="B28" s="2977">
        <v>85395</v>
      </c>
      <c r="C28" s="2977">
        <v>2009</v>
      </c>
      <c r="D28" s="2978">
        <f t="shared" si="2"/>
        <v>848000</v>
      </c>
      <c r="E28" s="2979">
        <v>848000</v>
      </c>
      <c r="F28" s="2978">
        <v>0</v>
      </c>
      <c r="G28" s="2986" t="s">
        <v>1429</v>
      </c>
      <c r="H28" s="203"/>
      <c r="I28" s="203"/>
      <c r="J28" s="203"/>
    </row>
    <row r="29" spans="1:11" s="204" customFormat="1" ht="24.95" customHeight="1" thickBot="1">
      <c r="A29" s="4219" t="s">
        <v>76</v>
      </c>
      <c r="B29" s="4220"/>
      <c r="C29" s="4220"/>
      <c r="D29" s="2980">
        <f>SUM(D20:D28)</f>
        <v>1464091</v>
      </c>
      <c r="E29" s="2980">
        <f>SUM(E20:E28)</f>
        <v>1379775</v>
      </c>
      <c r="F29" s="2980">
        <f>SUM(F20:F28)</f>
        <v>84316</v>
      </c>
      <c r="G29" s="2981"/>
      <c r="H29" s="203"/>
      <c r="I29" s="203"/>
      <c r="J29" s="203"/>
    </row>
    <row r="30" spans="1:11">
      <c r="A30" s="2987"/>
      <c r="B30" s="2988"/>
      <c r="C30" s="2989"/>
      <c r="D30" s="2989"/>
      <c r="E30" s="2989"/>
      <c r="F30" s="2989"/>
      <c r="G30" s="2990"/>
      <c r="H30" s="2991"/>
      <c r="I30" s="266"/>
      <c r="J30" s="266"/>
    </row>
    <row r="31" spans="1:11">
      <c r="A31" s="2987"/>
      <c r="B31" s="2988"/>
      <c r="C31" s="2989"/>
      <c r="D31" s="2989"/>
      <c r="E31" s="2989"/>
      <c r="F31" s="2989"/>
      <c r="G31" s="2990"/>
      <c r="H31" s="2991"/>
      <c r="I31" s="266"/>
      <c r="J31" s="266"/>
    </row>
    <row r="32" spans="1:11">
      <c r="A32" s="2992"/>
      <c r="B32" s="2988"/>
      <c r="C32" s="2989"/>
      <c r="D32" s="2989"/>
      <c r="E32" s="2989"/>
      <c r="F32" s="2989"/>
      <c r="G32" s="2993"/>
      <c r="H32" s="2991"/>
      <c r="I32" s="266"/>
      <c r="J32" s="266"/>
    </row>
    <row r="33" spans="1:10">
      <c r="A33" s="2992"/>
      <c r="B33" s="2988"/>
      <c r="C33" s="2989"/>
      <c r="D33" s="2989"/>
      <c r="E33" s="2989"/>
      <c r="F33" s="2954"/>
      <c r="G33" s="2993"/>
      <c r="H33" s="2991"/>
      <c r="I33" s="266"/>
      <c r="J33" s="266"/>
    </row>
    <row r="34" spans="1:10">
      <c r="A34" s="2992"/>
      <c r="B34" s="2988"/>
      <c r="C34" s="2989"/>
      <c r="D34" s="2994"/>
      <c r="E34" s="2994"/>
      <c r="F34" s="2994"/>
      <c r="G34" s="2993"/>
      <c r="H34" s="2991"/>
      <c r="I34" s="266"/>
      <c r="J34" s="266"/>
    </row>
    <row r="35" spans="1:10" s="3000" customFormat="1">
      <c r="A35" s="2995"/>
      <c r="B35" s="2988"/>
      <c r="C35" s="2996"/>
      <c r="D35" s="2996"/>
      <c r="E35" s="2997"/>
      <c r="F35" s="2993"/>
      <c r="G35" s="2998"/>
      <c r="H35" s="2999"/>
      <c r="I35" s="2960"/>
      <c r="J35" s="2960"/>
    </row>
    <row r="36" spans="1:10">
      <c r="A36" s="2997"/>
      <c r="B36" s="2997"/>
      <c r="C36" s="2997"/>
      <c r="D36" s="3001"/>
      <c r="E36" s="2989"/>
      <c r="F36" s="2989"/>
      <c r="G36" s="2997"/>
      <c r="H36" s="273"/>
      <c r="I36" s="273"/>
    </row>
    <row r="37" spans="1:10">
      <c r="G37" s="2997"/>
      <c r="H37" s="273"/>
      <c r="I37" s="273"/>
    </row>
    <row r="38" spans="1:10">
      <c r="E38" s="2954"/>
      <c r="F38" s="2954"/>
    </row>
  </sheetData>
  <mergeCells count="28">
    <mergeCell ref="A20:A27"/>
    <mergeCell ref="B20:B27"/>
    <mergeCell ref="G20:G25"/>
    <mergeCell ref="G26:G27"/>
    <mergeCell ref="A29:C29"/>
    <mergeCell ref="A15:C15"/>
    <mergeCell ref="A17:G17"/>
    <mergeCell ref="A18:A19"/>
    <mergeCell ref="B18:B19"/>
    <mergeCell ref="C18:C19"/>
    <mergeCell ref="D18:D19"/>
    <mergeCell ref="E18:F18"/>
    <mergeCell ref="G18:G19"/>
    <mergeCell ref="A7:A12"/>
    <mergeCell ref="B7:B12"/>
    <mergeCell ref="G7:G12"/>
    <mergeCell ref="A13:A14"/>
    <mergeCell ref="B13:B14"/>
    <mergeCell ref="G13:G14"/>
    <mergeCell ref="A1:B1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r:id="rId1"/>
  <headerFooter alignWithMargins="0"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view="pageBreakPreview" zoomScaleSheetLayoutView="100" workbookViewId="0">
      <selection activeCell="H7" sqref="H7"/>
    </sheetView>
  </sheetViews>
  <sheetFormatPr defaultRowHeight="12.75"/>
  <cols>
    <col min="1" max="6" width="12.7109375" style="243" customWidth="1"/>
    <col min="7" max="7" width="60.7109375" style="243" customWidth="1"/>
    <col min="8" max="8" width="19.7109375" style="118" customWidth="1"/>
    <col min="9" max="9" width="9.140625" style="118"/>
    <col min="10" max="10" width="11.140625" style="118" bestFit="1" customWidth="1"/>
    <col min="11" max="256" width="9.140625" style="118"/>
    <col min="257" max="257" width="7.7109375" style="118" customWidth="1"/>
    <col min="258" max="258" width="10.5703125" style="118" customWidth="1"/>
    <col min="259" max="259" width="11.140625" style="118" bestFit="1" customWidth="1"/>
    <col min="260" max="260" width="22.140625" style="118" bestFit="1" customWidth="1"/>
    <col min="261" max="261" width="12.28515625" style="118" customWidth="1"/>
    <col min="262" max="262" width="12.5703125" style="118" customWidth="1"/>
    <col min="263" max="263" width="12.140625" style="118" customWidth="1"/>
    <col min="264" max="264" width="19.7109375" style="118" customWidth="1"/>
    <col min="265" max="512" width="9.140625" style="118"/>
    <col min="513" max="513" width="7.7109375" style="118" customWidth="1"/>
    <col min="514" max="514" width="10.5703125" style="118" customWidth="1"/>
    <col min="515" max="515" width="11.140625" style="118" bestFit="1" customWidth="1"/>
    <col min="516" max="516" width="22.140625" style="118" bestFit="1" customWidth="1"/>
    <col min="517" max="517" width="12.28515625" style="118" customWidth="1"/>
    <col min="518" max="518" width="12.5703125" style="118" customWidth="1"/>
    <col min="519" max="519" width="12.140625" style="118" customWidth="1"/>
    <col min="520" max="520" width="19.7109375" style="118" customWidth="1"/>
    <col min="521" max="768" width="9.140625" style="118"/>
    <col min="769" max="769" width="7.7109375" style="118" customWidth="1"/>
    <col min="770" max="770" width="10.5703125" style="118" customWidth="1"/>
    <col min="771" max="771" width="11.140625" style="118" bestFit="1" customWidth="1"/>
    <col min="772" max="772" width="22.140625" style="118" bestFit="1" customWidth="1"/>
    <col min="773" max="773" width="12.28515625" style="118" customWidth="1"/>
    <col min="774" max="774" width="12.5703125" style="118" customWidth="1"/>
    <col min="775" max="775" width="12.140625" style="118" customWidth="1"/>
    <col min="776" max="776" width="19.7109375" style="118" customWidth="1"/>
    <col min="777" max="1024" width="9.140625" style="118"/>
    <col min="1025" max="1025" width="7.7109375" style="118" customWidth="1"/>
    <col min="1026" max="1026" width="10.5703125" style="118" customWidth="1"/>
    <col min="1027" max="1027" width="11.140625" style="118" bestFit="1" customWidth="1"/>
    <col min="1028" max="1028" width="22.140625" style="118" bestFit="1" customWidth="1"/>
    <col min="1029" max="1029" width="12.28515625" style="118" customWidth="1"/>
    <col min="1030" max="1030" width="12.5703125" style="118" customWidth="1"/>
    <col min="1031" max="1031" width="12.140625" style="118" customWidth="1"/>
    <col min="1032" max="1032" width="19.7109375" style="118" customWidth="1"/>
    <col min="1033" max="1280" width="9.140625" style="118"/>
    <col min="1281" max="1281" width="7.7109375" style="118" customWidth="1"/>
    <col min="1282" max="1282" width="10.5703125" style="118" customWidth="1"/>
    <col min="1283" max="1283" width="11.140625" style="118" bestFit="1" customWidth="1"/>
    <col min="1284" max="1284" width="22.140625" style="118" bestFit="1" customWidth="1"/>
    <col min="1285" max="1285" width="12.28515625" style="118" customWidth="1"/>
    <col min="1286" max="1286" width="12.5703125" style="118" customWidth="1"/>
    <col min="1287" max="1287" width="12.140625" style="118" customWidth="1"/>
    <col min="1288" max="1288" width="19.7109375" style="118" customWidth="1"/>
    <col min="1289" max="1536" width="9.140625" style="118"/>
    <col min="1537" max="1537" width="7.7109375" style="118" customWidth="1"/>
    <col min="1538" max="1538" width="10.5703125" style="118" customWidth="1"/>
    <col min="1539" max="1539" width="11.140625" style="118" bestFit="1" customWidth="1"/>
    <col min="1540" max="1540" width="22.140625" style="118" bestFit="1" customWidth="1"/>
    <col min="1541" max="1541" width="12.28515625" style="118" customWidth="1"/>
    <col min="1542" max="1542" width="12.5703125" style="118" customWidth="1"/>
    <col min="1543" max="1543" width="12.140625" style="118" customWidth="1"/>
    <col min="1544" max="1544" width="19.7109375" style="118" customWidth="1"/>
    <col min="1545" max="1792" width="9.140625" style="118"/>
    <col min="1793" max="1793" width="7.7109375" style="118" customWidth="1"/>
    <col min="1794" max="1794" width="10.5703125" style="118" customWidth="1"/>
    <col min="1795" max="1795" width="11.140625" style="118" bestFit="1" customWidth="1"/>
    <col min="1796" max="1796" width="22.140625" style="118" bestFit="1" customWidth="1"/>
    <col min="1797" max="1797" width="12.28515625" style="118" customWidth="1"/>
    <col min="1798" max="1798" width="12.5703125" style="118" customWidth="1"/>
    <col min="1799" max="1799" width="12.140625" style="118" customWidth="1"/>
    <col min="1800" max="1800" width="19.7109375" style="118" customWidth="1"/>
    <col min="1801" max="2048" width="9.140625" style="118"/>
    <col min="2049" max="2049" width="7.7109375" style="118" customWidth="1"/>
    <col min="2050" max="2050" width="10.5703125" style="118" customWidth="1"/>
    <col min="2051" max="2051" width="11.140625" style="118" bestFit="1" customWidth="1"/>
    <col min="2052" max="2052" width="22.140625" style="118" bestFit="1" customWidth="1"/>
    <col min="2053" max="2053" width="12.28515625" style="118" customWidth="1"/>
    <col min="2054" max="2054" width="12.5703125" style="118" customWidth="1"/>
    <col min="2055" max="2055" width="12.140625" style="118" customWidth="1"/>
    <col min="2056" max="2056" width="19.7109375" style="118" customWidth="1"/>
    <col min="2057" max="2304" width="9.140625" style="118"/>
    <col min="2305" max="2305" width="7.7109375" style="118" customWidth="1"/>
    <col min="2306" max="2306" width="10.5703125" style="118" customWidth="1"/>
    <col min="2307" max="2307" width="11.140625" style="118" bestFit="1" customWidth="1"/>
    <col min="2308" max="2308" width="22.140625" style="118" bestFit="1" customWidth="1"/>
    <col min="2309" max="2309" width="12.28515625" style="118" customWidth="1"/>
    <col min="2310" max="2310" width="12.5703125" style="118" customWidth="1"/>
    <col min="2311" max="2311" width="12.140625" style="118" customWidth="1"/>
    <col min="2312" max="2312" width="19.7109375" style="118" customWidth="1"/>
    <col min="2313" max="2560" width="9.140625" style="118"/>
    <col min="2561" max="2561" width="7.7109375" style="118" customWidth="1"/>
    <col min="2562" max="2562" width="10.5703125" style="118" customWidth="1"/>
    <col min="2563" max="2563" width="11.140625" style="118" bestFit="1" customWidth="1"/>
    <col min="2564" max="2564" width="22.140625" style="118" bestFit="1" customWidth="1"/>
    <col min="2565" max="2565" width="12.28515625" style="118" customWidth="1"/>
    <col min="2566" max="2566" width="12.5703125" style="118" customWidth="1"/>
    <col min="2567" max="2567" width="12.140625" style="118" customWidth="1"/>
    <col min="2568" max="2568" width="19.7109375" style="118" customWidth="1"/>
    <col min="2569" max="2816" width="9.140625" style="118"/>
    <col min="2817" max="2817" width="7.7109375" style="118" customWidth="1"/>
    <col min="2818" max="2818" width="10.5703125" style="118" customWidth="1"/>
    <col min="2819" max="2819" width="11.140625" style="118" bestFit="1" customWidth="1"/>
    <col min="2820" max="2820" width="22.140625" style="118" bestFit="1" customWidth="1"/>
    <col min="2821" max="2821" width="12.28515625" style="118" customWidth="1"/>
    <col min="2822" max="2822" width="12.5703125" style="118" customWidth="1"/>
    <col min="2823" max="2823" width="12.140625" style="118" customWidth="1"/>
    <col min="2824" max="2824" width="19.7109375" style="118" customWidth="1"/>
    <col min="2825" max="3072" width="9.140625" style="118"/>
    <col min="3073" max="3073" width="7.7109375" style="118" customWidth="1"/>
    <col min="3074" max="3074" width="10.5703125" style="118" customWidth="1"/>
    <col min="3075" max="3075" width="11.140625" style="118" bestFit="1" customWidth="1"/>
    <col min="3076" max="3076" width="22.140625" style="118" bestFit="1" customWidth="1"/>
    <col min="3077" max="3077" width="12.28515625" style="118" customWidth="1"/>
    <col min="3078" max="3078" width="12.5703125" style="118" customWidth="1"/>
    <col min="3079" max="3079" width="12.140625" style="118" customWidth="1"/>
    <col min="3080" max="3080" width="19.7109375" style="118" customWidth="1"/>
    <col min="3081" max="3328" width="9.140625" style="118"/>
    <col min="3329" max="3329" width="7.7109375" style="118" customWidth="1"/>
    <col min="3330" max="3330" width="10.5703125" style="118" customWidth="1"/>
    <col min="3331" max="3331" width="11.140625" style="118" bestFit="1" customWidth="1"/>
    <col min="3332" max="3332" width="22.140625" style="118" bestFit="1" customWidth="1"/>
    <col min="3333" max="3333" width="12.28515625" style="118" customWidth="1"/>
    <col min="3334" max="3334" width="12.5703125" style="118" customWidth="1"/>
    <col min="3335" max="3335" width="12.140625" style="118" customWidth="1"/>
    <col min="3336" max="3336" width="19.7109375" style="118" customWidth="1"/>
    <col min="3337" max="3584" width="9.140625" style="118"/>
    <col min="3585" max="3585" width="7.7109375" style="118" customWidth="1"/>
    <col min="3586" max="3586" width="10.5703125" style="118" customWidth="1"/>
    <col min="3587" max="3587" width="11.140625" style="118" bestFit="1" customWidth="1"/>
    <col min="3588" max="3588" width="22.140625" style="118" bestFit="1" customWidth="1"/>
    <col min="3589" max="3589" width="12.28515625" style="118" customWidth="1"/>
    <col min="3590" max="3590" width="12.5703125" style="118" customWidth="1"/>
    <col min="3591" max="3591" width="12.140625" style="118" customWidth="1"/>
    <col min="3592" max="3592" width="19.7109375" style="118" customWidth="1"/>
    <col min="3593" max="3840" width="9.140625" style="118"/>
    <col min="3841" max="3841" width="7.7109375" style="118" customWidth="1"/>
    <col min="3842" max="3842" width="10.5703125" style="118" customWidth="1"/>
    <col min="3843" max="3843" width="11.140625" style="118" bestFit="1" customWidth="1"/>
    <col min="3844" max="3844" width="22.140625" style="118" bestFit="1" customWidth="1"/>
    <col min="3845" max="3845" width="12.28515625" style="118" customWidth="1"/>
    <col min="3846" max="3846" width="12.5703125" style="118" customWidth="1"/>
    <col min="3847" max="3847" width="12.140625" style="118" customWidth="1"/>
    <col min="3848" max="3848" width="19.7109375" style="118" customWidth="1"/>
    <col min="3849" max="4096" width="9.140625" style="118"/>
    <col min="4097" max="4097" width="7.7109375" style="118" customWidth="1"/>
    <col min="4098" max="4098" width="10.5703125" style="118" customWidth="1"/>
    <col min="4099" max="4099" width="11.140625" style="118" bestFit="1" customWidth="1"/>
    <col min="4100" max="4100" width="22.140625" style="118" bestFit="1" customWidth="1"/>
    <col min="4101" max="4101" width="12.28515625" style="118" customWidth="1"/>
    <col min="4102" max="4102" width="12.5703125" style="118" customWidth="1"/>
    <col min="4103" max="4103" width="12.140625" style="118" customWidth="1"/>
    <col min="4104" max="4104" width="19.7109375" style="118" customWidth="1"/>
    <col min="4105" max="4352" width="9.140625" style="118"/>
    <col min="4353" max="4353" width="7.7109375" style="118" customWidth="1"/>
    <col min="4354" max="4354" width="10.5703125" style="118" customWidth="1"/>
    <col min="4355" max="4355" width="11.140625" style="118" bestFit="1" customWidth="1"/>
    <col min="4356" max="4356" width="22.140625" style="118" bestFit="1" customWidth="1"/>
    <col min="4357" max="4357" width="12.28515625" style="118" customWidth="1"/>
    <col min="4358" max="4358" width="12.5703125" style="118" customWidth="1"/>
    <col min="4359" max="4359" width="12.140625" style="118" customWidth="1"/>
    <col min="4360" max="4360" width="19.7109375" style="118" customWidth="1"/>
    <col min="4361" max="4608" width="9.140625" style="118"/>
    <col min="4609" max="4609" width="7.7109375" style="118" customWidth="1"/>
    <col min="4610" max="4610" width="10.5703125" style="118" customWidth="1"/>
    <col min="4611" max="4611" width="11.140625" style="118" bestFit="1" customWidth="1"/>
    <col min="4612" max="4612" width="22.140625" style="118" bestFit="1" customWidth="1"/>
    <col min="4613" max="4613" width="12.28515625" style="118" customWidth="1"/>
    <col min="4614" max="4614" width="12.5703125" style="118" customWidth="1"/>
    <col min="4615" max="4615" width="12.140625" style="118" customWidth="1"/>
    <col min="4616" max="4616" width="19.7109375" style="118" customWidth="1"/>
    <col min="4617" max="4864" width="9.140625" style="118"/>
    <col min="4865" max="4865" width="7.7109375" style="118" customWidth="1"/>
    <col min="4866" max="4866" width="10.5703125" style="118" customWidth="1"/>
    <col min="4867" max="4867" width="11.140625" style="118" bestFit="1" customWidth="1"/>
    <col min="4868" max="4868" width="22.140625" style="118" bestFit="1" customWidth="1"/>
    <col min="4869" max="4869" width="12.28515625" style="118" customWidth="1"/>
    <col min="4870" max="4870" width="12.5703125" style="118" customWidth="1"/>
    <col min="4871" max="4871" width="12.140625" style="118" customWidth="1"/>
    <col min="4872" max="4872" width="19.7109375" style="118" customWidth="1"/>
    <col min="4873" max="5120" width="9.140625" style="118"/>
    <col min="5121" max="5121" width="7.7109375" style="118" customWidth="1"/>
    <col min="5122" max="5122" width="10.5703125" style="118" customWidth="1"/>
    <col min="5123" max="5123" width="11.140625" style="118" bestFit="1" customWidth="1"/>
    <col min="5124" max="5124" width="22.140625" style="118" bestFit="1" customWidth="1"/>
    <col min="5125" max="5125" width="12.28515625" style="118" customWidth="1"/>
    <col min="5126" max="5126" width="12.5703125" style="118" customWidth="1"/>
    <col min="5127" max="5127" width="12.140625" style="118" customWidth="1"/>
    <col min="5128" max="5128" width="19.7109375" style="118" customWidth="1"/>
    <col min="5129" max="5376" width="9.140625" style="118"/>
    <col min="5377" max="5377" width="7.7109375" style="118" customWidth="1"/>
    <col min="5378" max="5378" width="10.5703125" style="118" customWidth="1"/>
    <col min="5379" max="5379" width="11.140625" style="118" bestFit="1" customWidth="1"/>
    <col min="5380" max="5380" width="22.140625" style="118" bestFit="1" customWidth="1"/>
    <col min="5381" max="5381" width="12.28515625" style="118" customWidth="1"/>
    <col min="5382" max="5382" width="12.5703125" style="118" customWidth="1"/>
    <col min="5383" max="5383" width="12.140625" style="118" customWidth="1"/>
    <col min="5384" max="5384" width="19.7109375" style="118" customWidth="1"/>
    <col min="5385" max="5632" width="9.140625" style="118"/>
    <col min="5633" max="5633" width="7.7109375" style="118" customWidth="1"/>
    <col min="5634" max="5634" width="10.5703125" style="118" customWidth="1"/>
    <col min="5635" max="5635" width="11.140625" style="118" bestFit="1" customWidth="1"/>
    <col min="5636" max="5636" width="22.140625" style="118" bestFit="1" customWidth="1"/>
    <col min="5637" max="5637" width="12.28515625" style="118" customWidth="1"/>
    <col min="5638" max="5638" width="12.5703125" style="118" customWidth="1"/>
    <col min="5639" max="5639" width="12.140625" style="118" customWidth="1"/>
    <col min="5640" max="5640" width="19.7109375" style="118" customWidth="1"/>
    <col min="5641" max="5888" width="9.140625" style="118"/>
    <col min="5889" max="5889" width="7.7109375" style="118" customWidth="1"/>
    <col min="5890" max="5890" width="10.5703125" style="118" customWidth="1"/>
    <col min="5891" max="5891" width="11.140625" style="118" bestFit="1" customWidth="1"/>
    <col min="5892" max="5892" width="22.140625" style="118" bestFit="1" customWidth="1"/>
    <col min="5893" max="5893" width="12.28515625" style="118" customWidth="1"/>
    <col min="5894" max="5894" width="12.5703125" style="118" customWidth="1"/>
    <col min="5895" max="5895" width="12.140625" style="118" customWidth="1"/>
    <col min="5896" max="5896" width="19.7109375" style="118" customWidth="1"/>
    <col min="5897" max="6144" width="9.140625" style="118"/>
    <col min="6145" max="6145" width="7.7109375" style="118" customWidth="1"/>
    <col min="6146" max="6146" width="10.5703125" style="118" customWidth="1"/>
    <col min="6147" max="6147" width="11.140625" style="118" bestFit="1" customWidth="1"/>
    <col min="6148" max="6148" width="22.140625" style="118" bestFit="1" customWidth="1"/>
    <col min="6149" max="6149" width="12.28515625" style="118" customWidth="1"/>
    <col min="6150" max="6150" width="12.5703125" style="118" customWidth="1"/>
    <col min="6151" max="6151" width="12.140625" style="118" customWidth="1"/>
    <col min="6152" max="6152" width="19.7109375" style="118" customWidth="1"/>
    <col min="6153" max="6400" width="9.140625" style="118"/>
    <col min="6401" max="6401" width="7.7109375" style="118" customWidth="1"/>
    <col min="6402" max="6402" width="10.5703125" style="118" customWidth="1"/>
    <col min="6403" max="6403" width="11.140625" style="118" bestFit="1" customWidth="1"/>
    <col min="6404" max="6404" width="22.140625" style="118" bestFit="1" customWidth="1"/>
    <col min="6405" max="6405" width="12.28515625" style="118" customWidth="1"/>
    <col min="6406" max="6406" width="12.5703125" style="118" customWidth="1"/>
    <col min="6407" max="6407" width="12.140625" style="118" customWidth="1"/>
    <col min="6408" max="6408" width="19.7109375" style="118" customWidth="1"/>
    <col min="6409" max="6656" width="9.140625" style="118"/>
    <col min="6657" max="6657" width="7.7109375" style="118" customWidth="1"/>
    <col min="6658" max="6658" width="10.5703125" style="118" customWidth="1"/>
    <col min="6659" max="6659" width="11.140625" style="118" bestFit="1" customWidth="1"/>
    <col min="6660" max="6660" width="22.140625" style="118" bestFit="1" customWidth="1"/>
    <col min="6661" max="6661" width="12.28515625" style="118" customWidth="1"/>
    <col min="6662" max="6662" width="12.5703125" style="118" customWidth="1"/>
    <col min="6663" max="6663" width="12.140625" style="118" customWidth="1"/>
    <col min="6664" max="6664" width="19.7109375" style="118" customWidth="1"/>
    <col min="6665" max="6912" width="9.140625" style="118"/>
    <col min="6913" max="6913" width="7.7109375" style="118" customWidth="1"/>
    <col min="6914" max="6914" width="10.5703125" style="118" customWidth="1"/>
    <col min="6915" max="6915" width="11.140625" style="118" bestFit="1" customWidth="1"/>
    <col min="6916" max="6916" width="22.140625" style="118" bestFit="1" customWidth="1"/>
    <col min="6917" max="6917" width="12.28515625" style="118" customWidth="1"/>
    <col min="6918" max="6918" width="12.5703125" style="118" customWidth="1"/>
    <col min="6919" max="6919" width="12.140625" style="118" customWidth="1"/>
    <col min="6920" max="6920" width="19.7109375" style="118" customWidth="1"/>
    <col min="6921" max="7168" width="9.140625" style="118"/>
    <col min="7169" max="7169" width="7.7109375" style="118" customWidth="1"/>
    <col min="7170" max="7170" width="10.5703125" style="118" customWidth="1"/>
    <col min="7171" max="7171" width="11.140625" style="118" bestFit="1" customWidth="1"/>
    <col min="7172" max="7172" width="22.140625" style="118" bestFit="1" customWidth="1"/>
    <col min="7173" max="7173" width="12.28515625" style="118" customWidth="1"/>
    <col min="7174" max="7174" width="12.5703125" style="118" customWidth="1"/>
    <col min="7175" max="7175" width="12.140625" style="118" customWidth="1"/>
    <col min="7176" max="7176" width="19.7109375" style="118" customWidth="1"/>
    <col min="7177" max="7424" width="9.140625" style="118"/>
    <col min="7425" max="7425" width="7.7109375" style="118" customWidth="1"/>
    <col min="7426" max="7426" width="10.5703125" style="118" customWidth="1"/>
    <col min="7427" max="7427" width="11.140625" style="118" bestFit="1" customWidth="1"/>
    <col min="7428" max="7428" width="22.140625" style="118" bestFit="1" customWidth="1"/>
    <col min="7429" max="7429" width="12.28515625" style="118" customWidth="1"/>
    <col min="7430" max="7430" width="12.5703125" style="118" customWidth="1"/>
    <col min="7431" max="7431" width="12.140625" style="118" customWidth="1"/>
    <col min="7432" max="7432" width="19.7109375" style="118" customWidth="1"/>
    <col min="7433" max="7680" width="9.140625" style="118"/>
    <col min="7681" max="7681" width="7.7109375" style="118" customWidth="1"/>
    <col min="7682" max="7682" width="10.5703125" style="118" customWidth="1"/>
    <col min="7683" max="7683" width="11.140625" style="118" bestFit="1" customWidth="1"/>
    <col min="7684" max="7684" width="22.140625" style="118" bestFit="1" customWidth="1"/>
    <col min="7685" max="7685" width="12.28515625" style="118" customWidth="1"/>
    <col min="7686" max="7686" width="12.5703125" style="118" customWidth="1"/>
    <col min="7687" max="7687" width="12.140625" style="118" customWidth="1"/>
    <col min="7688" max="7688" width="19.7109375" style="118" customWidth="1"/>
    <col min="7689" max="7936" width="9.140625" style="118"/>
    <col min="7937" max="7937" width="7.7109375" style="118" customWidth="1"/>
    <col min="7938" max="7938" width="10.5703125" style="118" customWidth="1"/>
    <col min="7939" max="7939" width="11.140625" style="118" bestFit="1" customWidth="1"/>
    <col min="7940" max="7940" width="22.140625" style="118" bestFit="1" customWidth="1"/>
    <col min="7941" max="7941" width="12.28515625" style="118" customWidth="1"/>
    <col min="7942" max="7942" width="12.5703125" style="118" customWidth="1"/>
    <col min="7943" max="7943" width="12.140625" style="118" customWidth="1"/>
    <col min="7944" max="7944" width="19.7109375" style="118" customWidth="1"/>
    <col min="7945" max="8192" width="9.140625" style="118"/>
    <col min="8193" max="8193" width="7.7109375" style="118" customWidth="1"/>
    <col min="8194" max="8194" width="10.5703125" style="118" customWidth="1"/>
    <col min="8195" max="8195" width="11.140625" style="118" bestFit="1" customWidth="1"/>
    <col min="8196" max="8196" width="22.140625" style="118" bestFit="1" customWidth="1"/>
    <col min="8197" max="8197" width="12.28515625" style="118" customWidth="1"/>
    <col min="8198" max="8198" width="12.5703125" style="118" customWidth="1"/>
    <col min="8199" max="8199" width="12.140625" style="118" customWidth="1"/>
    <col min="8200" max="8200" width="19.7109375" style="118" customWidth="1"/>
    <col min="8201" max="8448" width="9.140625" style="118"/>
    <col min="8449" max="8449" width="7.7109375" style="118" customWidth="1"/>
    <col min="8450" max="8450" width="10.5703125" style="118" customWidth="1"/>
    <col min="8451" max="8451" width="11.140625" style="118" bestFit="1" customWidth="1"/>
    <col min="8452" max="8452" width="22.140625" style="118" bestFit="1" customWidth="1"/>
    <col min="8453" max="8453" width="12.28515625" style="118" customWidth="1"/>
    <col min="8454" max="8454" width="12.5703125" style="118" customWidth="1"/>
    <col min="8455" max="8455" width="12.140625" style="118" customWidth="1"/>
    <col min="8456" max="8456" width="19.7109375" style="118" customWidth="1"/>
    <col min="8457" max="8704" width="9.140625" style="118"/>
    <col min="8705" max="8705" width="7.7109375" style="118" customWidth="1"/>
    <col min="8706" max="8706" width="10.5703125" style="118" customWidth="1"/>
    <col min="8707" max="8707" width="11.140625" style="118" bestFit="1" customWidth="1"/>
    <col min="8708" max="8708" width="22.140625" style="118" bestFit="1" customWidth="1"/>
    <col min="8709" max="8709" width="12.28515625" style="118" customWidth="1"/>
    <col min="8710" max="8710" width="12.5703125" style="118" customWidth="1"/>
    <col min="8711" max="8711" width="12.140625" style="118" customWidth="1"/>
    <col min="8712" max="8712" width="19.7109375" style="118" customWidth="1"/>
    <col min="8713" max="8960" width="9.140625" style="118"/>
    <col min="8961" max="8961" width="7.7109375" style="118" customWidth="1"/>
    <col min="8962" max="8962" width="10.5703125" style="118" customWidth="1"/>
    <col min="8963" max="8963" width="11.140625" style="118" bestFit="1" customWidth="1"/>
    <col min="8964" max="8964" width="22.140625" style="118" bestFit="1" customWidth="1"/>
    <col min="8965" max="8965" width="12.28515625" style="118" customWidth="1"/>
    <col min="8966" max="8966" width="12.5703125" style="118" customWidth="1"/>
    <col min="8967" max="8967" width="12.140625" style="118" customWidth="1"/>
    <col min="8968" max="8968" width="19.7109375" style="118" customWidth="1"/>
    <col min="8969" max="9216" width="9.140625" style="118"/>
    <col min="9217" max="9217" width="7.7109375" style="118" customWidth="1"/>
    <col min="9218" max="9218" width="10.5703125" style="118" customWidth="1"/>
    <col min="9219" max="9219" width="11.140625" style="118" bestFit="1" customWidth="1"/>
    <col min="9220" max="9220" width="22.140625" style="118" bestFit="1" customWidth="1"/>
    <col min="9221" max="9221" width="12.28515625" style="118" customWidth="1"/>
    <col min="9222" max="9222" width="12.5703125" style="118" customWidth="1"/>
    <col min="9223" max="9223" width="12.140625" style="118" customWidth="1"/>
    <col min="9224" max="9224" width="19.7109375" style="118" customWidth="1"/>
    <col min="9225" max="9472" width="9.140625" style="118"/>
    <col min="9473" max="9473" width="7.7109375" style="118" customWidth="1"/>
    <col min="9474" max="9474" width="10.5703125" style="118" customWidth="1"/>
    <col min="9475" max="9475" width="11.140625" style="118" bestFit="1" customWidth="1"/>
    <col min="9476" max="9476" width="22.140625" style="118" bestFit="1" customWidth="1"/>
    <col min="9477" max="9477" width="12.28515625" style="118" customWidth="1"/>
    <col min="9478" max="9478" width="12.5703125" style="118" customWidth="1"/>
    <col min="9479" max="9479" width="12.140625" style="118" customWidth="1"/>
    <col min="9480" max="9480" width="19.7109375" style="118" customWidth="1"/>
    <col min="9481" max="9728" width="9.140625" style="118"/>
    <col min="9729" max="9729" width="7.7109375" style="118" customWidth="1"/>
    <col min="9730" max="9730" width="10.5703125" style="118" customWidth="1"/>
    <col min="9731" max="9731" width="11.140625" style="118" bestFit="1" customWidth="1"/>
    <col min="9732" max="9732" width="22.140625" style="118" bestFit="1" customWidth="1"/>
    <col min="9733" max="9733" width="12.28515625" style="118" customWidth="1"/>
    <col min="9734" max="9734" width="12.5703125" style="118" customWidth="1"/>
    <col min="9735" max="9735" width="12.140625" style="118" customWidth="1"/>
    <col min="9736" max="9736" width="19.7109375" style="118" customWidth="1"/>
    <col min="9737" max="9984" width="9.140625" style="118"/>
    <col min="9985" max="9985" width="7.7109375" style="118" customWidth="1"/>
    <col min="9986" max="9986" width="10.5703125" style="118" customWidth="1"/>
    <col min="9987" max="9987" width="11.140625" style="118" bestFit="1" customWidth="1"/>
    <col min="9988" max="9988" width="22.140625" style="118" bestFit="1" customWidth="1"/>
    <col min="9989" max="9989" width="12.28515625" style="118" customWidth="1"/>
    <col min="9990" max="9990" width="12.5703125" style="118" customWidth="1"/>
    <col min="9991" max="9991" width="12.140625" style="118" customWidth="1"/>
    <col min="9992" max="9992" width="19.7109375" style="118" customWidth="1"/>
    <col min="9993" max="10240" width="9.140625" style="118"/>
    <col min="10241" max="10241" width="7.7109375" style="118" customWidth="1"/>
    <col min="10242" max="10242" width="10.5703125" style="118" customWidth="1"/>
    <col min="10243" max="10243" width="11.140625" style="118" bestFit="1" customWidth="1"/>
    <col min="10244" max="10244" width="22.140625" style="118" bestFit="1" customWidth="1"/>
    <col min="10245" max="10245" width="12.28515625" style="118" customWidth="1"/>
    <col min="10246" max="10246" width="12.5703125" style="118" customWidth="1"/>
    <col min="10247" max="10247" width="12.140625" style="118" customWidth="1"/>
    <col min="10248" max="10248" width="19.7109375" style="118" customWidth="1"/>
    <col min="10249" max="10496" width="9.140625" style="118"/>
    <col min="10497" max="10497" width="7.7109375" style="118" customWidth="1"/>
    <col min="10498" max="10498" width="10.5703125" style="118" customWidth="1"/>
    <col min="10499" max="10499" width="11.140625" style="118" bestFit="1" customWidth="1"/>
    <col min="10500" max="10500" width="22.140625" style="118" bestFit="1" customWidth="1"/>
    <col min="10501" max="10501" width="12.28515625" style="118" customWidth="1"/>
    <col min="10502" max="10502" width="12.5703125" style="118" customWidth="1"/>
    <col min="10503" max="10503" width="12.140625" style="118" customWidth="1"/>
    <col min="10504" max="10504" width="19.7109375" style="118" customWidth="1"/>
    <col min="10505" max="10752" width="9.140625" style="118"/>
    <col min="10753" max="10753" width="7.7109375" style="118" customWidth="1"/>
    <col min="10754" max="10754" width="10.5703125" style="118" customWidth="1"/>
    <col min="10755" max="10755" width="11.140625" style="118" bestFit="1" customWidth="1"/>
    <col min="10756" max="10756" width="22.140625" style="118" bestFit="1" customWidth="1"/>
    <col min="10757" max="10757" width="12.28515625" style="118" customWidth="1"/>
    <col min="10758" max="10758" width="12.5703125" style="118" customWidth="1"/>
    <col min="10759" max="10759" width="12.140625" style="118" customWidth="1"/>
    <col min="10760" max="10760" width="19.7109375" style="118" customWidth="1"/>
    <col min="10761" max="11008" width="9.140625" style="118"/>
    <col min="11009" max="11009" width="7.7109375" style="118" customWidth="1"/>
    <col min="11010" max="11010" width="10.5703125" style="118" customWidth="1"/>
    <col min="11011" max="11011" width="11.140625" style="118" bestFit="1" customWidth="1"/>
    <col min="11012" max="11012" width="22.140625" style="118" bestFit="1" customWidth="1"/>
    <col min="11013" max="11013" width="12.28515625" style="118" customWidth="1"/>
    <col min="11014" max="11014" width="12.5703125" style="118" customWidth="1"/>
    <col min="11015" max="11015" width="12.140625" style="118" customWidth="1"/>
    <col min="11016" max="11016" width="19.7109375" style="118" customWidth="1"/>
    <col min="11017" max="11264" width="9.140625" style="118"/>
    <col min="11265" max="11265" width="7.7109375" style="118" customWidth="1"/>
    <col min="11266" max="11266" width="10.5703125" style="118" customWidth="1"/>
    <col min="11267" max="11267" width="11.140625" style="118" bestFit="1" customWidth="1"/>
    <col min="11268" max="11268" width="22.140625" style="118" bestFit="1" customWidth="1"/>
    <col min="11269" max="11269" width="12.28515625" style="118" customWidth="1"/>
    <col min="11270" max="11270" width="12.5703125" style="118" customWidth="1"/>
    <col min="11271" max="11271" width="12.140625" style="118" customWidth="1"/>
    <col min="11272" max="11272" width="19.7109375" style="118" customWidth="1"/>
    <col min="11273" max="11520" width="9.140625" style="118"/>
    <col min="11521" max="11521" width="7.7109375" style="118" customWidth="1"/>
    <col min="11522" max="11522" width="10.5703125" style="118" customWidth="1"/>
    <col min="11523" max="11523" width="11.140625" style="118" bestFit="1" customWidth="1"/>
    <col min="11524" max="11524" width="22.140625" style="118" bestFit="1" customWidth="1"/>
    <col min="11525" max="11525" width="12.28515625" style="118" customWidth="1"/>
    <col min="11526" max="11526" width="12.5703125" style="118" customWidth="1"/>
    <col min="11527" max="11527" width="12.140625" style="118" customWidth="1"/>
    <col min="11528" max="11528" width="19.7109375" style="118" customWidth="1"/>
    <col min="11529" max="11776" width="9.140625" style="118"/>
    <col min="11777" max="11777" width="7.7109375" style="118" customWidth="1"/>
    <col min="11778" max="11778" width="10.5703125" style="118" customWidth="1"/>
    <col min="11779" max="11779" width="11.140625" style="118" bestFit="1" customWidth="1"/>
    <col min="11780" max="11780" width="22.140625" style="118" bestFit="1" customWidth="1"/>
    <col min="11781" max="11781" width="12.28515625" style="118" customWidth="1"/>
    <col min="11782" max="11782" width="12.5703125" style="118" customWidth="1"/>
    <col min="11783" max="11783" width="12.140625" style="118" customWidth="1"/>
    <col min="11784" max="11784" width="19.7109375" style="118" customWidth="1"/>
    <col min="11785" max="12032" width="9.140625" style="118"/>
    <col min="12033" max="12033" width="7.7109375" style="118" customWidth="1"/>
    <col min="12034" max="12034" width="10.5703125" style="118" customWidth="1"/>
    <col min="12035" max="12035" width="11.140625" style="118" bestFit="1" customWidth="1"/>
    <col min="12036" max="12036" width="22.140625" style="118" bestFit="1" customWidth="1"/>
    <col min="12037" max="12037" width="12.28515625" style="118" customWidth="1"/>
    <col min="12038" max="12038" width="12.5703125" style="118" customWidth="1"/>
    <col min="12039" max="12039" width="12.140625" style="118" customWidth="1"/>
    <col min="12040" max="12040" width="19.7109375" style="118" customWidth="1"/>
    <col min="12041" max="12288" width="9.140625" style="118"/>
    <col min="12289" max="12289" width="7.7109375" style="118" customWidth="1"/>
    <col min="12290" max="12290" width="10.5703125" style="118" customWidth="1"/>
    <col min="12291" max="12291" width="11.140625" style="118" bestFit="1" customWidth="1"/>
    <col min="12292" max="12292" width="22.140625" style="118" bestFit="1" customWidth="1"/>
    <col min="12293" max="12293" width="12.28515625" style="118" customWidth="1"/>
    <col min="12294" max="12294" width="12.5703125" style="118" customWidth="1"/>
    <col min="12295" max="12295" width="12.140625" style="118" customWidth="1"/>
    <col min="12296" max="12296" width="19.7109375" style="118" customWidth="1"/>
    <col min="12297" max="12544" width="9.140625" style="118"/>
    <col min="12545" max="12545" width="7.7109375" style="118" customWidth="1"/>
    <col min="12546" max="12546" width="10.5703125" style="118" customWidth="1"/>
    <col min="12547" max="12547" width="11.140625" style="118" bestFit="1" customWidth="1"/>
    <col min="12548" max="12548" width="22.140625" style="118" bestFit="1" customWidth="1"/>
    <col min="12549" max="12549" width="12.28515625" style="118" customWidth="1"/>
    <col min="12550" max="12550" width="12.5703125" style="118" customWidth="1"/>
    <col min="12551" max="12551" width="12.140625" style="118" customWidth="1"/>
    <col min="12552" max="12552" width="19.7109375" style="118" customWidth="1"/>
    <col min="12553" max="12800" width="9.140625" style="118"/>
    <col min="12801" max="12801" width="7.7109375" style="118" customWidth="1"/>
    <col min="12802" max="12802" width="10.5703125" style="118" customWidth="1"/>
    <col min="12803" max="12803" width="11.140625" style="118" bestFit="1" customWidth="1"/>
    <col min="12804" max="12804" width="22.140625" style="118" bestFit="1" customWidth="1"/>
    <col min="12805" max="12805" width="12.28515625" style="118" customWidth="1"/>
    <col min="12806" max="12806" width="12.5703125" style="118" customWidth="1"/>
    <col min="12807" max="12807" width="12.140625" style="118" customWidth="1"/>
    <col min="12808" max="12808" width="19.7109375" style="118" customWidth="1"/>
    <col min="12809" max="13056" width="9.140625" style="118"/>
    <col min="13057" max="13057" width="7.7109375" style="118" customWidth="1"/>
    <col min="13058" max="13058" width="10.5703125" style="118" customWidth="1"/>
    <col min="13059" max="13059" width="11.140625" style="118" bestFit="1" customWidth="1"/>
    <col min="13060" max="13060" width="22.140625" style="118" bestFit="1" customWidth="1"/>
    <col min="13061" max="13061" width="12.28515625" style="118" customWidth="1"/>
    <col min="13062" max="13062" width="12.5703125" style="118" customWidth="1"/>
    <col min="13063" max="13063" width="12.140625" style="118" customWidth="1"/>
    <col min="13064" max="13064" width="19.7109375" style="118" customWidth="1"/>
    <col min="13065" max="13312" width="9.140625" style="118"/>
    <col min="13313" max="13313" width="7.7109375" style="118" customWidth="1"/>
    <col min="13314" max="13314" width="10.5703125" style="118" customWidth="1"/>
    <col min="13315" max="13315" width="11.140625" style="118" bestFit="1" customWidth="1"/>
    <col min="13316" max="13316" width="22.140625" style="118" bestFit="1" customWidth="1"/>
    <col min="13317" max="13317" width="12.28515625" style="118" customWidth="1"/>
    <col min="13318" max="13318" width="12.5703125" style="118" customWidth="1"/>
    <col min="13319" max="13319" width="12.140625" style="118" customWidth="1"/>
    <col min="13320" max="13320" width="19.7109375" style="118" customWidth="1"/>
    <col min="13321" max="13568" width="9.140625" style="118"/>
    <col min="13569" max="13569" width="7.7109375" style="118" customWidth="1"/>
    <col min="13570" max="13570" width="10.5703125" style="118" customWidth="1"/>
    <col min="13571" max="13571" width="11.140625" style="118" bestFit="1" customWidth="1"/>
    <col min="13572" max="13572" width="22.140625" style="118" bestFit="1" customWidth="1"/>
    <col min="13573" max="13573" width="12.28515625" style="118" customWidth="1"/>
    <col min="13574" max="13574" width="12.5703125" style="118" customWidth="1"/>
    <col min="13575" max="13575" width="12.140625" style="118" customWidth="1"/>
    <col min="13576" max="13576" width="19.7109375" style="118" customWidth="1"/>
    <col min="13577" max="13824" width="9.140625" style="118"/>
    <col min="13825" max="13825" width="7.7109375" style="118" customWidth="1"/>
    <col min="13826" max="13826" width="10.5703125" style="118" customWidth="1"/>
    <col min="13827" max="13827" width="11.140625" style="118" bestFit="1" customWidth="1"/>
    <col min="13828" max="13828" width="22.140625" style="118" bestFit="1" customWidth="1"/>
    <col min="13829" max="13829" width="12.28515625" style="118" customWidth="1"/>
    <col min="13830" max="13830" width="12.5703125" style="118" customWidth="1"/>
    <col min="13831" max="13831" width="12.140625" style="118" customWidth="1"/>
    <col min="13832" max="13832" width="19.7109375" style="118" customWidth="1"/>
    <col min="13833" max="14080" width="9.140625" style="118"/>
    <col min="14081" max="14081" width="7.7109375" style="118" customWidth="1"/>
    <col min="14082" max="14082" width="10.5703125" style="118" customWidth="1"/>
    <col min="14083" max="14083" width="11.140625" style="118" bestFit="1" customWidth="1"/>
    <col min="14084" max="14084" width="22.140625" style="118" bestFit="1" customWidth="1"/>
    <col min="14085" max="14085" width="12.28515625" style="118" customWidth="1"/>
    <col min="14086" max="14086" width="12.5703125" style="118" customWidth="1"/>
    <col min="14087" max="14087" width="12.140625" style="118" customWidth="1"/>
    <col min="14088" max="14088" width="19.7109375" style="118" customWidth="1"/>
    <col min="14089" max="14336" width="9.140625" style="118"/>
    <col min="14337" max="14337" width="7.7109375" style="118" customWidth="1"/>
    <col min="14338" max="14338" width="10.5703125" style="118" customWidth="1"/>
    <col min="14339" max="14339" width="11.140625" style="118" bestFit="1" customWidth="1"/>
    <col min="14340" max="14340" width="22.140625" style="118" bestFit="1" customWidth="1"/>
    <col min="14341" max="14341" width="12.28515625" style="118" customWidth="1"/>
    <col min="14342" max="14342" width="12.5703125" style="118" customWidth="1"/>
    <col min="14343" max="14343" width="12.140625" style="118" customWidth="1"/>
    <col min="14344" max="14344" width="19.7109375" style="118" customWidth="1"/>
    <col min="14345" max="14592" width="9.140625" style="118"/>
    <col min="14593" max="14593" width="7.7109375" style="118" customWidth="1"/>
    <col min="14594" max="14594" width="10.5703125" style="118" customWidth="1"/>
    <col min="14595" max="14595" width="11.140625" style="118" bestFit="1" customWidth="1"/>
    <col min="14596" max="14596" width="22.140625" style="118" bestFit="1" customWidth="1"/>
    <col min="14597" max="14597" width="12.28515625" style="118" customWidth="1"/>
    <col min="14598" max="14598" width="12.5703125" style="118" customWidth="1"/>
    <col min="14599" max="14599" width="12.140625" style="118" customWidth="1"/>
    <col min="14600" max="14600" width="19.7109375" style="118" customWidth="1"/>
    <col min="14601" max="14848" width="9.140625" style="118"/>
    <col min="14849" max="14849" width="7.7109375" style="118" customWidth="1"/>
    <col min="14850" max="14850" width="10.5703125" style="118" customWidth="1"/>
    <col min="14851" max="14851" width="11.140625" style="118" bestFit="1" customWidth="1"/>
    <col min="14852" max="14852" width="22.140625" style="118" bestFit="1" customWidth="1"/>
    <col min="14853" max="14853" width="12.28515625" style="118" customWidth="1"/>
    <col min="14854" max="14854" width="12.5703125" style="118" customWidth="1"/>
    <col min="14855" max="14855" width="12.140625" style="118" customWidth="1"/>
    <col min="14856" max="14856" width="19.7109375" style="118" customWidth="1"/>
    <col min="14857" max="15104" width="9.140625" style="118"/>
    <col min="15105" max="15105" width="7.7109375" style="118" customWidth="1"/>
    <col min="15106" max="15106" width="10.5703125" style="118" customWidth="1"/>
    <col min="15107" max="15107" width="11.140625" style="118" bestFit="1" customWidth="1"/>
    <col min="15108" max="15108" width="22.140625" style="118" bestFit="1" customWidth="1"/>
    <col min="15109" max="15109" width="12.28515625" style="118" customWidth="1"/>
    <col min="15110" max="15110" width="12.5703125" style="118" customWidth="1"/>
    <col min="15111" max="15111" width="12.140625" style="118" customWidth="1"/>
    <col min="15112" max="15112" width="19.7109375" style="118" customWidth="1"/>
    <col min="15113" max="15360" width="9.140625" style="118"/>
    <col min="15361" max="15361" width="7.7109375" style="118" customWidth="1"/>
    <col min="15362" max="15362" width="10.5703125" style="118" customWidth="1"/>
    <col min="15363" max="15363" width="11.140625" style="118" bestFit="1" customWidth="1"/>
    <col min="15364" max="15364" width="22.140625" style="118" bestFit="1" customWidth="1"/>
    <col min="15365" max="15365" width="12.28515625" style="118" customWidth="1"/>
    <col min="15366" max="15366" width="12.5703125" style="118" customWidth="1"/>
    <col min="15367" max="15367" width="12.140625" style="118" customWidth="1"/>
    <col min="15368" max="15368" width="19.7109375" style="118" customWidth="1"/>
    <col min="15369" max="15616" width="9.140625" style="118"/>
    <col min="15617" max="15617" width="7.7109375" style="118" customWidth="1"/>
    <col min="15618" max="15618" width="10.5703125" style="118" customWidth="1"/>
    <col min="15619" max="15619" width="11.140625" style="118" bestFit="1" customWidth="1"/>
    <col min="15620" max="15620" width="22.140625" style="118" bestFit="1" customWidth="1"/>
    <col min="15621" max="15621" width="12.28515625" style="118" customWidth="1"/>
    <col min="15622" max="15622" width="12.5703125" style="118" customWidth="1"/>
    <col min="15623" max="15623" width="12.140625" style="118" customWidth="1"/>
    <col min="15624" max="15624" width="19.7109375" style="118" customWidth="1"/>
    <col min="15625" max="15872" width="9.140625" style="118"/>
    <col min="15873" max="15873" width="7.7109375" style="118" customWidth="1"/>
    <col min="15874" max="15874" width="10.5703125" style="118" customWidth="1"/>
    <col min="15875" max="15875" width="11.140625" style="118" bestFit="1" customWidth="1"/>
    <col min="15876" max="15876" width="22.140625" style="118" bestFit="1" customWidth="1"/>
    <col min="15877" max="15877" width="12.28515625" style="118" customWidth="1"/>
    <col min="15878" max="15878" width="12.5703125" style="118" customWidth="1"/>
    <col min="15879" max="15879" width="12.140625" style="118" customWidth="1"/>
    <col min="15880" max="15880" width="19.7109375" style="118" customWidth="1"/>
    <col min="15881" max="16128" width="9.140625" style="118"/>
    <col min="16129" max="16129" width="7.7109375" style="118" customWidth="1"/>
    <col min="16130" max="16130" width="10.5703125" style="118" customWidth="1"/>
    <col min="16131" max="16131" width="11.140625" style="118" bestFit="1" customWidth="1"/>
    <col min="16132" max="16132" width="22.140625" style="118" bestFit="1" customWidth="1"/>
    <col min="16133" max="16133" width="12.28515625" style="118" customWidth="1"/>
    <col min="16134" max="16134" width="12.5703125" style="118" customWidth="1"/>
    <col min="16135" max="16135" width="12.140625" style="118" customWidth="1"/>
    <col min="16136" max="16136" width="19.7109375" style="118" customWidth="1"/>
    <col min="16137" max="16384" width="9.140625" style="118"/>
  </cols>
  <sheetData>
    <row r="1" spans="1:12" s="204" customFormat="1" ht="48.75" customHeight="1">
      <c r="A1" s="3"/>
      <c r="B1" s="3"/>
      <c r="C1" s="3"/>
      <c r="D1" s="3"/>
      <c r="E1" s="3"/>
      <c r="F1" s="3"/>
      <c r="G1" s="196" t="s">
        <v>1459</v>
      </c>
    </row>
    <row r="2" spans="1:12" s="204" customFormat="1" ht="40.5" customHeight="1">
      <c r="A2" s="4099" t="s">
        <v>1430</v>
      </c>
      <c r="B2" s="4099"/>
      <c r="C2" s="4099"/>
      <c r="D2" s="4099"/>
      <c r="E2" s="4099"/>
      <c r="F2" s="4099"/>
      <c r="G2" s="4099"/>
    </row>
    <row r="3" spans="1:12" s="204" customFormat="1" ht="15">
      <c r="A3" s="116"/>
      <c r="B3" s="116"/>
      <c r="C3" s="116"/>
      <c r="D3" s="116"/>
      <c r="E3" s="116"/>
      <c r="F3" s="116"/>
      <c r="G3" s="7" t="s">
        <v>5</v>
      </c>
    </row>
    <row r="4" spans="1:12" s="3002" customFormat="1" ht="20.100000000000001" customHeight="1" thickBot="1">
      <c r="A4" s="4201" t="s">
        <v>150</v>
      </c>
      <c r="B4" s="4201"/>
      <c r="C4" s="4201"/>
      <c r="D4" s="4201"/>
      <c r="E4" s="4201"/>
      <c r="F4" s="4201"/>
      <c r="G4" s="4201"/>
    </row>
    <row r="5" spans="1:12" s="204" customFormat="1" ht="15.75" customHeight="1">
      <c r="A5" s="4221" t="s">
        <v>0</v>
      </c>
      <c r="B5" s="4223" t="s">
        <v>30</v>
      </c>
      <c r="C5" s="4223" t="s">
        <v>2</v>
      </c>
      <c r="D5" s="4206" t="s">
        <v>1425</v>
      </c>
      <c r="E5" s="4204" t="s">
        <v>1</v>
      </c>
      <c r="F5" s="4204"/>
      <c r="G5" s="4225" t="s">
        <v>86</v>
      </c>
    </row>
    <row r="6" spans="1:12" s="204" customFormat="1" ht="16.5" customHeight="1">
      <c r="A6" s="4222"/>
      <c r="B6" s="4224"/>
      <c r="C6" s="4224"/>
      <c r="D6" s="4207"/>
      <c r="E6" s="2976" t="s">
        <v>132</v>
      </c>
      <c r="F6" s="2976" t="s">
        <v>88</v>
      </c>
      <c r="G6" s="4226"/>
    </row>
    <row r="7" spans="1:12" s="243" customFormat="1" ht="25.5">
      <c r="A7" s="3003">
        <v>700</v>
      </c>
      <c r="B7" s="3004">
        <v>70005</v>
      </c>
      <c r="C7" s="3005">
        <v>6259</v>
      </c>
      <c r="D7" s="3006">
        <f t="shared" ref="D7:D21" si="0">SUM(E7:F7)</f>
        <v>205036</v>
      </c>
      <c r="E7" s="3007">
        <v>0</v>
      </c>
      <c r="F7" s="3007">
        <v>205036</v>
      </c>
      <c r="G7" s="3008" t="s">
        <v>1431</v>
      </c>
    </row>
    <row r="8" spans="1:12" s="243" customFormat="1" ht="18" customHeight="1">
      <c r="A8" s="3009">
        <v>710</v>
      </c>
      <c r="B8" s="3004">
        <v>71012</v>
      </c>
      <c r="C8" s="3005">
        <v>2057</v>
      </c>
      <c r="D8" s="3006">
        <f t="shared" si="0"/>
        <v>4395917</v>
      </c>
      <c r="E8" s="3007">
        <v>4395917</v>
      </c>
      <c r="F8" s="3007">
        <v>0</v>
      </c>
      <c r="G8" s="4228" t="s">
        <v>1432</v>
      </c>
    </row>
    <row r="9" spans="1:12" s="243" customFormat="1" ht="18" customHeight="1">
      <c r="A9" s="3009">
        <v>720</v>
      </c>
      <c r="B9" s="3004">
        <v>72095</v>
      </c>
      <c r="C9" s="3004">
        <v>6257</v>
      </c>
      <c r="D9" s="3010">
        <f t="shared" si="0"/>
        <v>206487</v>
      </c>
      <c r="E9" s="3011">
        <v>0</v>
      </c>
      <c r="F9" s="3011">
        <v>206487</v>
      </c>
      <c r="G9" s="4229"/>
    </row>
    <row r="10" spans="1:12" s="243" customFormat="1" ht="18" customHeight="1">
      <c r="A10" s="3009">
        <v>750</v>
      </c>
      <c r="B10" s="3004">
        <v>75095</v>
      </c>
      <c r="C10" s="3004">
        <v>6259</v>
      </c>
      <c r="D10" s="3010">
        <f t="shared" si="0"/>
        <v>1059598</v>
      </c>
      <c r="E10" s="3011">
        <v>0</v>
      </c>
      <c r="F10" s="3011">
        <v>1059598</v>
      </c>
      <c r="G10" s="4228" t="s">
        <v>1431</v>
      </c>
    </row>
    <row r="11" spans="1:12" s="243" customFormat="1" ht="18" customHeight="1">
      <c r="A11" s="4231">
        <v>801</v>
      </c>
      <c r="B11" s="4233">
        <v>80195</v>
      </c>
      <c r="C11" s="3012">
        <v>2059</v>
      </c>
      <c r="D11" s="3010">
        <f t="shared" si="0"/>
        <v>495081</v>
      </c>
      <c r="E11" s="3013">
        <v>495081</v>
      </c>
      <c r="F11" s="3013">
        <v>0</v>
      </c>
      <c r="G11" s="4229"/>
    </row>
    <row r="12" spans="1:12" s="243" customFormat="1" ht="18" customHeight="1">
      <c r="A12" s="4231"/>
      <c r="B12" s="4233"/>
      <c r="C12" s="3012">
        <v>2009</v>
      </c>
      <c r="D12" s="3010">
        <f t="shared" si="0"/>
        <v>4950</v>
      </c>
      <c r="E12" s="3013">
        <v>4950</v>
      </c>
      <c r="F12" s="3013">
        <v>0</v>
      </c>
      <c r="G12" s="4229"/>
    </row>
    <row r="13" spans="1:12" s="243" customFormat="1" ht="18" customHeight="1">
      <c r="A13" s="4232"/>
      <c r="B13" s="4234"/>
      <c r="C13" s="3004">
        <v>6259</v>
      </c>
      <c r="D13" s="3010">
        <f t="shared" si="0"/>
        <v>28950</v>
      </c>
      <c r="E13" s="3011">
        <v>0</v>
      </c>
      <c r="F13" s="3011">
        <v>28950</v>
      </c>
      <c r="G13" s="4229"/>
      <c r="L13" s="3014"/>
    </row>
    <row r="14" spans="1:12" s="243" customFormat="1" ht="18" customHeight="1">
      <c r="A14" s="3015">
        <v>851</v>
      </c>
      <c r="B14" s="3005">
        <v>85111</v>
      </c>
      <c r="C14" s="3004">
        <v>6209</v>
      </c>
      <c r="D14" s="3010">
        <f t="shared" si="0"/>
        <v>6435646</v>
      </c>
      <c r="E14" s="3011">
        <v>0</v>
      </c>
      <c r="F14" s="3011">
        <v>6435646</v>
      </c>
      <c r="G14" s="4229"/>
    </row>
    <row r="15" spans="1:12" s="243" customFormat="1" ht="18" customHeight="1">
      <c r="A15" s="4235">
        <v>852</v>
      </c>
      <c r="B15" s="4236">
        <v>85295</v>
      </c>
      <c r="C15" s="3004">
        <v>2009</v>
      </c>
      <c r="D15" s="3011">
        <f t="shared" si="0"/>
        <v>138648</v>
      </c>
      <c r="E15" s="3011">
        <v>138648</v>
      </c>
      <c r="F15" s="3010">
        <v>0</v>
      </c>
      <c r="G15" s="4229"/>
      <c r="H15" s="3016"/>
      <c r="I15" s="2954"/>
      <c r="J15" s="2954"/>
    </row>
    <row r="16" spans="1:12" s="243" customFormat="1" ht="18" customHeight="1">
      <c r="A16" s="4231"/>
      <c r="B16" s="4233"/>
      <c r="C16" s="3004">
        <v>2059</v>
      </c>
      <c r="D16" s="3011">
        <f t="shared" si="0"/>
        <v>2788034</v>
      </c>
      <c r="E16" s="3011">
        <v>2788034</v>
      </c>
      <c r="F16" s="3010">
        <v>0</v>
      </c>
      <c r="G16" s="4229"/>
      <c r="H16" s="3016"/>
      <c r="I16" s="2954"/>
      <c r="J16" s="2954"/>
    </row>
    <row r="17" spans="1:11" s="243" customFormat="1" ht="18" customHeight="1">
      <c r="A17" s="4232"/>
      <c r="B17" s="4234"/>
      <c r="C17" s="3004">
        <v>6259</v>
      </c>
      <c r="D17" s="3011">
        <f t="shared" si="0"/>
        <v>112447</v>
      </c>
      <c r="E17" s="3011">
        <v>0</v>
      </c>
      <c r="F17" s="3010">
        <v>112447</v>
      </c>
      <c r="G17" s="4229"/>
      <c r="H17" s="3016"/>
      <c r="I17" s="2954"/>
      <c r="J17" s="2954"/>
    </row>
    <row r="18" spans="1:11" s="243" customFormat="1" ht="18" customHeight="1">
      <c r="A18" s="4235">
        <v>853</v>
      </c>
      <c r="B18" s="4236">
        <v>85395</v>
      </c>
      <c r="C18" s="3004">
        <v>2059</v>
      </c>
      <c r="D18" s="3011">
        <f t="shared" ref="D18:D19" si="1">SUM(E18:F18)</f>
        <v>628561</v>
      </c>
      <c r="E18" s="3011">
        <v>628561</v>
      </c>
      <c r="F18" s="3010">
        <v>0</v>
      </c>
      <c r="G18" s="4229"/>
      <c r="H18" s="3016"/>
      <c r="I18" s="2954"/>
      <c r="J18" s="2954"/>
    </row>
    <row r="19" spans="1:11" s="243" customFormat="1" ht="18" customHeight="1">
      <c r="A19" s="4232"/>
      <c r="B19" s="4234"/>
      <c r="C19" s="3004">
        <v>6259</v>
      </c>
      <c r="D19" s="3011">
        <f t="shared" si="1"/>
        <v>2506</v>
      </c>
      <c r="E19" s="3011">
        <v>0</v>
      </c>
      <c r="F19" s="3010">
        <v>2506</v>
      </c>
      <c r="G19" s="4230"/>
      <c r="H19" s="3016"/>
      <c r="I19" s="2954"/>
      <c r="J19" s="2954"/>
    </row>
    <row r="20" spans="1:11" s="243" customFormat="1" ht="18" customHeight="1">
      <c r="A20" s="4235">
        <v>921</v>
      </c>
      <c r="B20" s="4236">
        <v>92109</v>
      </c>
      <c r="C20" s="3004">
        <v>6220</v>
      </c>
      <c r="D20" s="3011">
        <f t="shared" si="0"/>
        <v>726200</v>
      </c>
      <c r="E20" s="3017">
        <v>0</v>
      </c>
      <c r="F20" s="3018">
        <v>726200</v>
      </c>
      <c r="G20" s="4228" t="s">
        <v>1433</v>
      </c>
      <c r="H20" s="3016"/>
      <c r="I20" s="2954"/>
      <c r="J20" s="2954"/>
    </row>
    <row r="21" spans="1:11" s="243" customFormat="1" ht="18" customHeight="1">
      <c r="A21" s="4231"/>
      <c r="B21" s="4234"/>
      <c r="C21" s="3004">
        <v>6229</v>
      </c>
      <c r="D21" s="3011">
        <f t="shared" si="0"/>
        <v>5475468</v>
      </c>
      <c r="E21" s="3017">
        <v>0</v>
      </c>
      <c r="F21" s="3018">
        <v>5475468</v>
      </c>
      <c r="G21" s="4230"/>
      <c r="H21" s="3016"/>
      <c r="I21" s="2954"/>
      <c r="J21" s="2954"/>
    </row>
    <row r="22" spans="1:11" s="243" customFormat="1" ht="18" customHeight="1">
      <c r="A22" s="4231"/>
      <c r="B22" s="3004">
        <v>92109</v>
      </c>
      <c r="C22" s="3004">
        <v>6259</v>
      </c>
      <c r="D22" s="3011">
        <f t="shared" ref="D22:D23" si="2">SUM(E22:F22)</f>
        <v>173981</v>
      </c>
      <c r="E22" s="3017">
        <v>0</v>
      </c>
      <c r="F22" s="3018">
        <v>173981</v>
      </c>
      <c r="G22" s="4228" t="s">
        <v>1431</v>
      </c>
      <c r="H22" s="3016"/>
      <c r="I22" s="2954"/>
      <c r="J22" s="2954"/>
    </row>
    <row r="23" spans="1:11" s="243" customFormat="1" ht="18" customHeight="1">
      <c r="A23" s="4232"/>
      <c r="B23" s="3004">
        <v>92195</v>
      </c>
      <c r="C23" s="3004">
        <v>6259</v>
      </c>
      <c r="D23" s="3011">
        <f t="shared" si="2"/>
        <v>1485851</v>
      </c>
      <c r="E23" s="3017">
        <v>0</v>
      </c>
      <c r="F23" s="3018">
        <v>1485851</v>
      </c>
      <c r="G23" s="4230"/>
      <c r="H23" s="3016"/>
      <c r="I23" s="2954"/>
      <c r="J23" s="2954"/>
    </row>
    <row r="24" spans="1:11" s="204" customFormat="1" ht="20.100000000000001" customHeight="1" thickBot="1">
      <c r="A24" s="4237" t="s">
        <v>76</v>
      </c>
      <c r="B24" s="4238"/>
      <c r="C24" s="4239"/>
      <c r="D24" s="3019">
        <f>SUM(D7:D23)</f>
        <v>24363361</v>
      </c>
      <c r="E24" s="3019">
        <f>SUM(E7:E23)</f>
        <v>8451191</v>
      </c>
      <c r="F24" s="3019">
        <f>SUM(F7:F23)</f>
        <v>15912170</v>
      </c>
      <c r="G24" s="2981"/>
      <c r="H24" s="3020"/>
      <c r="I24" s="203"/>
      <c r="J24" s="203"/>
    </row>
    <row r="25" spans="1:11" s="204" customFormat="1">
      <c r="A25" s="4227"/>
      <c r="B25" s="4227"/>
      <c r="C25" s="4227"/>
      <c r="D25" s="4227"/>
      <c r="E25" s="4227"/>
      <c r="F25" s="4227"/>
      <c r="G25" s="4227"/>
      <c r="H25" s="3020"/>
      <c r="I25" s="203"/>
      <c r="J25" s="203"/>
    </row>
    <row r="26" spans="1:11" s="204" customFormat="1" ht="18" customHeight="1" thickBot="1">
      <c r="A26" s="4201" t="s">
        <v>186</v>
      </c>
      <c r="B26" s="4201"/>
      <c r="C26" s="4201"/>
      <c r="D26" s="4201"/>
      <c r="E26" s="4201"/>
      <c r="F26" s="4201"/>
      <c r="G26" s="4201"/>
      <c r="H26" s="3020"/>
      <c r="I26" s="203"/>
      <c r="J26" s="203"/>
      <c r="K26" s="3021"/>
    </row>
    <row r="27" spans="1:11" s="204" customFormat="1" ht="20.100000000000001" customHeight="1">
      <c r="A27" s="4221" t="s">
        <v>0</v>
      </c>
      <c r="B27" s="4223" t="s">
        <v>30</v>
      </c>
      <c r="C27" s="4223" t="s">
        <v>2</v>
      </c>
      <c r="D27" s="4206" t="s">
        <v>1425</v>
      </c>
      <c r="E27" s="4204" t="s">
        <v>1</v>
      </c>
      <c r="F27" s="4204"/>
      <c r="G27" s="4225" t="s">
        <v>86</v>
      </c>
      <c r="H27" s="3020"/>
      <c r="I27" s="203"/>
      <c r="J27" s="203"/>
    </row>
    <row r="28" spans="1:11" s="204" customFormat="1" ht="20.100000000000001" customHeight="1">
      <c r="A28" s="4222"/>
      <c r="B28" s="4224"/>
      <c r="C28" s="4224"/>
      <c r="D28" s="4207"/>
      <c r="E28" s="2976" t="s">
        <v>132</v>
      </c>
      <c r="F28" s="2976" t="s">
        <v>88</v>
      </c>
      <c r="G28" s="4226"/>
      <c r="H28" s="203"/>
      <c r="I28" s="203"/>
      <c r="J28" s="203"/>
    </row>
    <row r="29" spans="1:11" s="204" customFormat="1" ht="25.5">
      <c r="A29" s="4235">
        <v>150</v>
      </c>
      <c r="B29" s="4236">
        <v>15011</v>
      </c>
      <c r="C29" s="3004">
        <v>2009</v>
      </c>
      <c r="D29" s="3011">
        <f>SUM(E29:F29)</f>
        <v>2985463</v>
      </c>
      <c r="E29" s="3010">
        <v>2985463</v>
      </c>
      <c r="F29" s="3022">
        <v>0</v>
      </c>
      <c r="G29" s="3023" t="s">
        <v>1431</v>
      </c>
      <c r="H29" s="203"/>
      <c r="I29" s="203"/>
      <c r="J29" s="203"/>
    </row>
    <row r="30" spans="1:11" s="204" customFormat="1" ht="25.5">
      <c r="A30" s="4231"/>
      <c r="B30" s="4233"/>
      <c r="C30" s="3012">
        <v>2007</v>
      </c>
      <c r="D30" s="3011">
        <f t="shared" ref="D30" si="3">SUM(E30:F30)</f>
        <v>13231704</v>
      </c>
      <c r="E30" s="3010">
        <v>13231704</v>
      </c>
      <c r="F30" s="3022">
        <v>0</v>
      </c>
      <c r="G30" s="3024" t="s">
        <v>1434</v>
      </c>
      <c r="H30" s="203"/>
      <c r="I30" s="203"/>
      <c r="J30" s="203"/>
    </row>
    <row r="31" spans="1:11" s="204" customFormat="1" ht="18" customHeight="1">
      <c r="A31" s="3015">
        <v>801</v>
      </c>
      <c r="B31" s="3005">
        <v>80195</v>
      </c>
      <c r="C31" s="3012">
        <v>2009</v>
      </c>
      <c r="D31" s="3013">
        <f>SUM(E31:F31)</f>
        <v>808918</v>
      </c>
      <c r="E31" s="3011">
        <v>808918</v>
      </c>
      <c r="F31" s="3010">
        <v>0</v>
      </c>
      <c r="G31" s="4240" t="s">
        <v>1431</v>
      </c>
      <c r="H31" s="203"/>
      <c r="I31" s="203"/>
      <c r="J31" s="203"/>
    </row>
    <row r="32" spans="1:11" s="204" customFormat="1" ht="18" customHeight="1">
      <c r="A32" s="4235">
        <v>852</v>
      </c>
      <c r="B32" s="4236">
        <v>85295</v>
      </c>
      <c r="C32" s="3012">
        <v>2009</v>
      </c>
      <c r="D32" s="3013">
        <f t="shared" ref="D32:D33" si="4">SUM(E32:F32)</f>
        <v>8903315</v>
      </c>
      <c r="E32" s="3011">
        <v>8903315</v>
      </c>
      <c r="F32" s="3010">
        <v>0</v>
      </c>
      <c r="G32" s="4241"/>
      <c r="H32" s="203"/>
      <c r="I32" s="203"/>
      <c r="J32" s="203"/>
    </row>
    <row r="33" spans="1:10" s="204" customFormat="1" ht="18" customHeight="1">
      <c r="A33" s="4232"/>
      <c r="B33" s="4234"/>
      <c r="C33" s="3012">
        <v>6209</v>
      </c>
      <c r="D33" s="3013">
        <f t="shared" si="4"/>
        <v>259097</v>
      </c>
      <c r="E33" s="3011">
        <v>0</v>
      </c>
      <c r="F33" s="3010">
        <v>259097</v>
      </c>
      <c r="G33" s="4241"/>
      <c r="H33" s="203"/>
      <c r="I33" s="203"/>
      <c r="J33" s="203"/>
    </row>
    <row r="34" spans="1:10" s="204" customFormat="1" ht="18" customHeight="1">
      <c r="A34" s="3009">
        <v>853</v>
      </c>
      <c r="B34" s="3004">
        <v>85395</v>
      </c>
      <c r="C34" s="3004">
        <v>2009</v>
      </c>
      <c r="D34" s="3011">
        <f>SUM(E34:F34)</f>
        <v>4437430</v>
      </c>
      <c r="E34" s="3011">
        <v>4437430</v>
      </c>
      <c r="F34" s="3010">
        <v>0</v>
      </c>
      <c r="G34" s="4242"/>
      <c r="H34" s="203"/>
      <c r="I34" s="203"/>
      <c r="J34" s="203"/>
    </row>
    <row r="35" spans="1:10" s="3000" customFormat="1" ht="20.100000000000001" customHeight="1" thickBot="1">
      <c r="A35" s="4237" t="s">
        <v>76</v>
      </c>
      <c r="B35" s="4238"/>
      <c r="C35" s="4239"/>
      <c r="D35" s="3019">
        <f>SUM(D29:D34)</f>
        <v>30625927</v>
      </c>
      <c r="E35" s="3019">
        <f t="shared" ref="E35:F35" si="5">SUM(E29:E34)</f>
        <v>30366830</v>
      </c>
      <c r="F35" s="3019">
        <f t="shared" si="5"/>
        <v>259097</v>
      </c>
      <c r="G35" s="2981"/>
    </row>
    <row r="36" spans="1:10">
      <c r="B36" s="2998"/>
      <c r="C36" s="3025"/>
      <c r="D36" s="2954"/>
      <c r="E36" s="2954"/>
      <c r="F36" s="2954"/>
    </row>
    <row r="37" spans="1:10">
      <c r="C37" s="3026"/>
      <c r="D37" s="2954"/>
      <c r="E37" s="2954"/>
      <c r="F37" s="2954"/>
    </row>
    <row r="38" spans="1:10">
      <c r="C38" s="2954"/>
      <c r="D38" s="2954"/>
      <c r="E38" s="2954"/>
      <c r="F38" s="2954"/>
    </row>
    <row r="39" spans="1:10">
      <c r="C39" s="2954"/>
      <c r="D39" s="2954"/>
      <c r="E39" s="2954"/>
      <c r="F39" s="2954"/>
    </row>
    <row r="40" spans="1:10">
      <c r="C40" s="2954"/>
    </row>
  </sheetData>
  <mergeCells count="35">
    <mergeCell ref="A35:C35"/>
    <mergeCell ref="A26:G26"/>
    <mergeCell ref="A27:A28"/>
    <mergeCell ref="B27:B28"/>
    <mergeCell ref="C27:C28"/>
    <mergeCell ref="D27:D28"/>
    <mergeCell ref="E27:F27"/>
    <mergeCell ref="G27:G28"/>
    <mergeCell ref="A29:A30"/>
    <mergeCell ref="B29:B30"/>
    <mergeCell ref="G31:G34"/>
    <mergeCell ref="A32:A33"/>
    <mergeCell ref="B32:B33"/>
    <mergeCell ref="A25:G25"/>
    <mergeCell ref="G8:G9"/>
    <mergeCell ref="G10:G19"/>
    <mergeCell ref="A11:A13"/>
    <mergeCell ref="B11:B13"/>
    <mergeCell ref="A15:A17"/>
    <mergeCell ref="B15:B17"/>
    <mergeCell ref="A18:A19"/>
    <mergeCell ref="B18:B19"/>
    <mergeCell ref="A20:A23"/>
    <mergeCell ref="B20:B21"/>
    <mergeCell ref="G20:G21"/>
    <mergeCell ref="G22:G23"/>
    <mergeCell ref="A24:C24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r:id="rId1"/>
  <headerFooter alignWithMargins="0"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view="pageBreakPreview" zoomScaleSheetLayoutView="100" workbookViewId="0">
      <selection activeCell="I5" sqref="I5"/>
    </sheetView>
  </sheetViews>
  <sheetFormatPr defaultRowHeight="12.75"/>
  <cols>
    <col min="1" max="6" width="12.7109375" style="243" customWidth="1"/>
    <col min="7" max="7" width="60.7109375" style="243" customWidth="1"/>
    <col min="8" max="8" width="10.140625" style="118" bestFit="1" customWidth="1"/>
    <col min="9" max="9" width="10.7109375" style="118" bestFit="1" customWidth="1"/>
    <col min="10" max="256" width="9.140625" style="118"/>
    <col min="257" max="257" width="7.7109375" style="118" customWidth="1"/>
    <col min="258" max="258" width="10.5703125" style="118" customWidth="1"/>
    <col min="259" max="259" width="11.140625" style="118" bestFit="1" customWidth="1"/>
    <col min="260" max="260" width="22.140625" style="118" bestFit="1" customWidth="1"/>
    <col min="261" max="261" width="12.28515625" style="118" customWidth="1"/>
    <col min="262" max="262" width="12.5703125" style="118" customWidth="1"/>
    <col min="263" max="263" width="12.140625" style="118" customWidth="1"/>
    <col min="264" max="264" width="19.7109375" style="118" customWidth="1"/>
    <col min="265" max="512" width="9.140625" style="118"/>
    <col min="513" max="513" width="7.7109375" style="118" customWidth="1"/>
    <col min="514" max="514" width="10.5703125" style="118" customWidth="1"/>
    <col min="515" max="515" width="11.140625" style="118" bestFit="1" customWidth="1"/>
    <col min="516" max="516" width="22.140625" style="118" bestFit="1" customWidth="1"/>
    <col min="517" max="517" width="12.28515625" style="118" customWidth="1"/>
    <col min="518" max="518" width="12.5703125" style="118" customWidth="1"/>
    <col min="519" max="519" width="12.140625" style="118" customWidth="1"/>
    <col min="520" max="520" width="19.7109375" style="118" customWidth="1"/>
    <col min="521" max="768" width="9.140625" style="118"/>
    <col min="769" max="769" width="7.7109375" style="118" customWidth="1"/>
    <col min="770" max="770" width="10.5703125" style="118" customWidth="1"/>
    <col min="771" max="771" width="11.140625" style="118" bestFit="1" customWidth="1"/>
    <col min="772" max="772" width="22.140625" style="118" bestFit="1" customWidth="1"/>
    <col min="773" max="773" width="12.28515625" style="118" customWidth="1"/>
    <col min="774" max="774" width="12.5703125" style="118" customWidth="1"/>
    <col min="775" max="775" width="12.140625" style="118" customWidth="1"/>
    <col min="776" max="776" width="19.7109375" style="118" customWidth="1"/>
    <col min="777" max="1024" width="9.140625" style="118"/>
    <col min="1025" max="1025" width="7.7109375" style="118" customWidth="1"/>
    <col min="1026" max="1026" width="10.5703125" style="118" customWidth="1"/>
    <col min="1027" max="1027" width="11.140625" style="118" bestFit="1" customWidth="1"/>
    <col min="1028" max="1028" width="22.140625" style="118" bestFit="1" customWidth="1"/>
    <col min="1029" max="1029" width="12.28515625" style="118" customWidth="1"/>
    <col min="1030" max="1030" width="12.5703125" style="118" customWidth="1"/>
    <col min="1031" max="1031" width="12.140625" style="118" customWidth="1"/>
    <col min="1032" max="1032" width="19.7109375" style="118" customWidth="1"/>
    <col min="1033" max="1280" width="9.140625" style="118"/>
    <col min="1281" max="1281" width="7.7109375" style="118" customWidth="1"/>
    <col min="1282" max="1282" width="10.5703125" style="118" customWidth="1"/>
    <col min="1283" max="1283" width="11.140625" style="118" bestFit="1" customWidth="1"/>
    <col min="1284" max="1284" width="22.140625" style="118" bestFit="1" customWidth="1"/>
    <col min="1285" max="1285" width="12.28515625" style="118" customWidth="1"/>
    <col min="1286" max="1286" width="12.5703125" style="118" customWidth="1"/>
    <col min="1287" max="1287" width="12.140625" style="118" customWidth="1"/>
    <col min="1288" max="1288" width="19.7109375" style="118" customWidth="1"/>
    <col min="1289" max="1536" width="9.140625" style="118"/>
    <col min="1537" max="1537" width="7.7109375" style="118" customWidth="1"/>
    <col min="1538" max="1538" width="10.5703125" style="118" customWidth="1"/>
    <col min="1539" max="1539" width="11.140625" style="118" bestFit="1" customWidth="1"/>
    <col min="1540" max="1540" width="22.140625" style="118" bestFit="1" customWidth="1"/>
    <col min="1541" max="1541" width="12.28515625" style="118" customWidth="1"/>
    <col min="1542" max="1542" width="12.5703125" style="118" customWidth="1"/>
    <col min="1543" max="1543" width="12.140625" style="118" customWidth="1"/>
    <col min="1544" max="1544" width="19.7109375" style="118" customWidth="1"/>
    <col min="1545" max="1792" width="9.140625" style="118"/>
    <col min="1793" max="1793" width="7.7109375" style="118" customWidth="1"/>
    <col min="1794" max="1794" width="10.5703125" style="118" customWidth="1"/>
    <col min="1795" max="1795" width="11.140625" style="118" bestFit="1" customWidth="1"/>
    <col min="1796" max="1796" width="22.140625" style="118" bestFit="1" customWidth="1"/>
    <col min="1797" max="1797" width="12.28515625" style="118" customWidth="1"/>
    <col min="1798" max="1798" width="12.5703125" style="118" customWidth="1"/>
    <col min="1799" max="1799" width="12.140625" style="118" customWidth="1"/>
    <col min="1800" max="1800" width="19.7109375" style="118" customWidth="1"/>
    <col min="1801" max="2048" width="9.140625" style="118"/>
    <col min="2049" max="2049" width="7.7109375" style="118" customWidth="1"/>
    <col min="2050" max="2050" width="10.5703125" style="118" customWidth="1"/>
    <col min="2051" max="2051" width="11.140625" style="118" bestFit="1" customWidth="1"/>
    <col min="2052" max="2052" width="22.140625" style="118" bestFit="1" customWidth="1"/>
    <col min="2053" max="2053" width="12.28515625" style="118" customWidth="1"/>
    <col min="2054" max="2054" width="12.5703125" style="118" customWidth="1"/>
    <col min="2055" max="2055" width="12.140625" style="118" customWidth="1"/>
    <col min="2056" max="2056" width="19.7109375" style="118" customWidth="1"/>
    <col min="2057" max="2304" width="9.140625" style="118"/>
    <col min="2305" max="2305" width="7.7109375" style="118" customWidth="1"/>
    <col min="2306" max="2306" width="10.5703125" style="118" customWidth="1"/>
    <col min="2307" max="2307" width="11.140625" style="118" bestFit="1" customWidth="1"/>
    <col min="2308" max="2308" width="22.140625" style="118" bestFit="1" customWidth="1"/>
    <col min="2309" max="2309" width="12.28515625" style="118" customWidth="1"/>
    <col min="2310" max="2310" width="12.5703125" style="118" customWidth="1"/>
    <col min="2311" max="2311" width="12.140625" style="118" customWidth="1"/>
    <col min="2312" max="2312" width="19.7109375" style="118" customWidth="1"/>
    <col min="2313" max="2560" width="9.140625" style="118"/>
    <col min="2561" max="2561" width="7.7109375" style="118" customWidth="1"/>
    <col min="2562" max="2562" width="10.5703125" style="118" customWidth="1"/>
    <col min="2563" max="2563" width="11.140625" style="118" bestFit="1" customWidth="1"/>
    <col min="2564" max="2564" width="22.140625" style="118" bestFit="1" customWidth="1"/>
    <col min="2565" max="2565" width="12.28515625" style="118" customWidth="1"/>
    <col min="2566" max="2566" width="12.5703125" style="118" customWidth="1"/>
    <col min="2567" max="2567" width="12.140625" style="118" customWidth="1"/>
    <col min="2568" max="2568" width="19.7109375" style="118" customWidth="1"/>
    <col min="2569" max="2816" width="9.140625" style="118"/>
    <col min="2817" max="2817" width="7.7109375" style="118" customWidth="1"/>
    <col min="2818" max="2818" width="10.5703125" style="118" customWidth="1"/>
    <col min="2819" max="2819" width="11.140625" style="118" bestFit="1" customWidth="1"/>
    <col min="2820" max="2820" width="22.140625" style="118" bestFit="1" customWidth="1"/>
    <col min="2821" max="2821" width="12.28515625" style="118" customWidth="1"/>
    <col min="2822" max="2822" width="12.5703125" style="118" customWidth="1"/>
    <col min="2823" max="2823" width="12.140625" style="118" customWidth="1"/>
    <col min="2824" max="2824" width="19.7109375" style="118" customWidth="1"/>
    <col min="2825" max="3072" width="9.140625" style="118"/>
    <col min="3073" max="3073" width="7.7109375" style="118" customWidth="1"/>
    <col min="3074" max="3074" width="10.5703125" style="118" customWidth="1"/>
    <col min="3075" max="3075" width="11.140625" style="118" bestFit="1" customWidth="1"/>
    <col min="3076" max="3076" width="22.140625" style="118" bestFit="1" customWidth="1"/>
    <col min="3077" max="3077" width="12.28515625" style="118" customWidth="1"/>
    <col min="3078" max="3078" width="12.5703125" style="118" customWidth="1"/>
    <col min="3079" max="3079" width="12.140625" style="118" customWidth="1"/>
    <col min="3080" max="3080" width="19.7109375" style="118" customWidth="1"/>
    <col min="3081" max="3328" width="9.140625" style="118"/>
    <col min="3329" max="3329" width="7.7109375" style="118" customWidth="1"/>
    <col min="3330" max="3330" width="10.5703125" style="118" customWidth="1"/>
    <col min="3331" max="3331" width="11.140625" style="118" bestFit="1" customWidth="1"/>
    <col min="3332" max="3332" width="22.140625" style="118" bestFit="1" customWidth="1"/>
    <col min="3333" max="3333" width="12.28515625" style="118" customWidth="1"/>
    <col min="3334" max="3334" width="12.5703125" style="118" customWidth="1"/>
    <col min="3335" max="3335" width="12.140625" style="118" customWidth="1"/>
    <col min="3336" max="3336" width="19.7109375" style="118" customWidth="1"/>
    <col min="3337" max="3584" width="9.140625" style="118"/>
    <col min="3585" max="3585" width="7.7109375" style="118" customWidth="1"/>
    <col min="3586" max="3586" width="10.5703125" style="118" customWidth="1"/>
    <col min="3587" max="3587" width="11.140625" style="118" bestFit="1" customWidth="1"/>
    <col min="3588" max="3588" width="22.140625" style="118" bestFit="1" customWidth="1"/>
    <col min="3589" max="3589" width="12.28515625" style="118" customWidth="1"/>
    <col min="3590" max="3590" width="12.5703125" style="118" customWidth="1"/>
    <col min="3591" max="3591" width="12.140625" style="118" customWidth="1"/>
    <col min="3592" max="3592" width="19.7109375" style="118" customWidth="1"/>
    <col min="3593" max="3840" width="9.140625" style="118"/>
    <col min="3841" max="3841" width="7.7109375" style="118" customWidth="1"/>
    <col min="3842" max="3842" width="10.5703125" style="118" customWidth="1"/>
    <col min="3843" max="3843" width="11.140625" style="118" bestFit="1" customWidth="1"/>
    <col min="3844" max="3844" width="22.140625" style="118" bestFit="1" customWidth="1"/>
    <col min="3845" max="3845" width="12.28515625" style="118" customWidth="1"/>
    <col min="3846" max="3846" width="12.5703125" style="118" customWidth="1"/>
    <col min="3847" max="3847" width="12.140625" style="118" customWidth="1"/>
    <col min="3848" max="3848" width="19.7109375" style="118" customWidth="1"/>
    <col min="3849" max="4096" width="9.140625" style="118"/>
    <col min="4097" max="4097" width="7.7109375" style="118" customWidth="1"/>
    <col min="4098" max="4098" width="10.5703125" style="118" customWidth="1"/>
    <col min="4099" max="4099" width="11.140625" style="118" bestFit="1" customWidth="1"/>
    <col min="4100" max="4100" width="22.140625" style="118" bestFit="1" customWidth="1"/>
    <col min="4101" max="4101" width="12.28515625" style="118" customWidth="1"/>
    <col min="4102" max="4102" width="12.5703125" style="118" customWidth="1"/>
    <col min="4103" max="4103" width="12.140625" style="118" customWidth="1"/>
    <col min="4104" max="4104" width="19.7109375" style="118" customWidth="1"/>
    <col min="4105" max="4352" width="9.140625" style="118"/>
    <col min="4353" max="4353" width="7.7109375" style="118" customWidth="1"/>
    <col min="4354" max="4354" width="10.5703125" style="118" customWidth="1"/>
    <col min="4355" max="4355" width="11.140625" style="118" bestFit="1" customWidth="1"/>
    <col min="4356" max="4356" width="22.140625" style="118" bestFit="1" customWidth="1"/>
    <col min="4357" max="4357" width="12.28515625" style="118" customWidth="1"/>
    <col min="4358" max="4358" width="12.5703125" style="118" customWidth="1"/>
    <col min="4359" max="4359" width="12.140625" style="118" customWidth="1"/>
    <col min="4360" max="4360" width="19.7109375" style="118" customWidth="1"/>
    <col min="4361" max="4608" width="9.140625" style="118"/>
    <col min="4609" max="4609" width="7.7109375" style="118" customWidth="1"/>
    <col min="4610" max="4610" width="10.5703125" style="118" customWidth="1"/>
    <col min="4611" max="4611" width="11.140625" style="118" bestFit="1" customWidth="1"/>
    <col min="4612" max="4612" width="22.140625" style="118" bestFit="1" customWidth="1"/>
    <col min="4613" max="4613" width="12.28515625" style="118" customWidth="1"/>
    <col min="4614" max="4614" width="12.5703125" style="118" customWidth="1"/>
    <col min="4615" max="4615" width="12.140625" style="118" customWidth="1"/>
    <col min="4616" max="4616" width="19.7109375" style="118" customWidth="1"/>
    <col min="4617" max="4864" width="9.140625" style="118"/>
    <col min="4865" max="4865" width="7.7109375" style="118" customWidth="1"/>
    <col min="4866" max="4866" width="10.5703125" style="118" customWidth="1"/>
    <col min="4867" max="4867" width="11.140625" style="118" bestFit="1" customWidth="1"/>
    <col min="4868" max="4868" width="22.140625" style="118" bestFit="1" customWidth="1"/>
    <col min="4869" max="4869" width="12.28515625" style="118" customWidth="1"/>
    <col min="4870" max="4870" width="12.5703125" style="118" customWidth="1"/>
    <col min="4871" max="4871" width="12.140625" style="118" customWidth="1"/>
    <col min="4872" max="4872" width="19.7109375" style="118" customWidth="1"/>
    <col min="4873" max="5120" width="9.140625" style="118"/>
    <col min="5121" max="5121" width="7.7109375" style="118" customWidth="1"/>
    <col min="5122" max="5122" width="10.5703125" style="118" customWidth="1"/>
    <col min="5123" max="5123" width="11.140625" style="118" bestFit="1" customWidth="1"/>
    <col min="5124" max="5124" width="22.140625" style="118" bestFit="1" customWidth="1"/>
    <col min="5125" max="5125" width="12.28515625" style="118" customWidth="1"/>
    <col min="5126" max="5126" width="12.5703125" style="118" customWidth="1"/>
    <col min="5127" max="5127" width="12.140625" style="118" customWidth="1"/>
    <col min="5128" max="5128" width="19.7109375" style="118" customWidth="1"/>
    <col min="5129" max="5376" width="9.140625" style="118"/>
    <col min="5377" max="5377" width="7.7109375" style="118" customWidth="1"/>
    <col min="5378" max="5378" width="10.5703125" style="118" customWidth="1"/>
    <col min="5379" max="5379" width="11.140625" style="118" bestFit="1" customWidth="1"/>
    <col min="5380" max="5380" width="22.140625" style="118" bestFit="1" customWidth="1"/>
    <col min="5381" max="5381" width="12.28515625" style="118" customWidth="1"/>
    <col min="5382" max="5382" width="12.5703125" style="118" customWidth="1"/>
    <col min="5383" max="5383" width="12.140625" style="118" customWidth="1"/>
    <col min="5384" max="5384" width="19.7109375" style="118" customWidth="1"/>
    <col min="5385" max="5632" width="9.140625" style="118"/>
    <col min="5633" max="5633" width="7.7109375" style="118" customWidth="1"/>
    <col min="5634" max="5634" width="10.5703125" style="118" customWidth="1"/>
    <col min="5635" max="5635" width="11.140625" style="118" bestFit="1" customWidth="1"/>
    <col min="5636" max="5636" width="22.140625" style="118" bestFit="1" customWidth="1"/>
    <col min="5637" max="5637" width="12.28515625" style="118" customWidth="1"/>
    <col min="5638" max="5638" width="12.5703125" style="118" customWidth="1"/>
    <col min="5639" max="5639" width="12.140625" style="118" customWidth="1"/>
    <col min="5640" max="5640" width="19.7109375" style="118" customWidth="1"/>
    <col min="5641" max="5888" width="9.140625" style="118"/>
    <col min="5889" max="5889" width="7.7109375" style="118" customWidth="1"/>
    <col min="5890" max="5890" width="10.5703125" style="118" customWidth="1"/>
    <col min="5891" max="5891" width="11.140625" style="118" bestFit="1" customWidth="1"/>
    <col min="5892" max="5892" width="22.140625" style="118" bestFit="1" customWidth="1"/>
    <col min="5893" max="5893" width="12.28515625" style="118" customWidth="1"/>
    <col min="5894" max="5894" width="12.5703125" style="118" customWidth="1"/>
    <col min="5895" max="5895" width="12.140625" style="118" customWidth="1"/>
    <col min="5896" max="5896" width="19.7109375" style="118" customWidth="1"/>
    <col min="5897" max="6144" width="9.140625" style="118"/>
    <col min="6145" max="6145" width="7.7109375" style="118" customWidth="1"/>
    <col min="6146" max="6146" width="10.5703125" style="118" customWidth="1"/>
    <col min="6147" max="6147" width="11.140625" style="118" bestFit="1" customWidth="1"/>
    <col min="6148" max="6148" width="22.140625" style="118" bestFit="1" customWidth="1"/>
    <col min="6149" max="6149" width="12.28515625" style="118" customWidth="1"/>
    <col min="6150" max="6150" width="12.5703125" style="118" customWidth="1"/>
    <col min="6151" max="6151" width="12.140625" style="118" customWidth="1"/>
    <col min="6152" max="6152" width="19.7109375" style="118" customWidth="1"/>
    <col min="6153" max="6400" width="9.140625" style="118"/>
    <col min="6401" max="6401" width="7.7109375" style="118" customWidth="1"/>
    <col min="6402" max="6402" width="10.5703125" style="118" customWidth="1"/>
    <col min="6403" max="6403" width="11.140625" style="118" bestFit="1" customWidth="1"/>
    <col min="6404" max="6404" width="22.140625" style="118" bestFit="1" customWidth="1"/>
    <col min="6405" max="6405" width="12.28515625" style="118" customWidth="1"/>
    <col min="6406" max="6406" width="12.5703125" style="118" customWidth="1"/>
    <col min="6407" max="6407" width="12.140625" style="118" customWidth="1"/>
    <col min="6408" max="6408" width="19.7109375" style="118" customWidth="1"/>
    <col min="6409" max="6656" width="9.140625" style="118"/>
    <col min="6657" max="6657" width="7.7109375" style="118" customWidth="1"/>
    <col min="6658" max="6658" width="10.5703125" style="118" customWidth="1"/>
    <col min="6659" max="6659" width="11.140625" style="118" bestFit="1" customWidth="1"/>
    <col min="6660" max="6660" width="22.140625" style="118" bestFit="1" customWidth="1"/>
    <col min="6661" max="6661" width="12.28515625" style="118" customWidth="1"/>
    <col min="6662" max="6662" width="12.5703125" style="118" customWidth="1"/>
    <col min="6663" max="6663" width="12.140625" style="118" customWidth="1"/>
    <col min="6664" max="6664" width="19.7109375" style="118" customWidth="1"/>
    <col min="6665" max="6912" width="9.140625" style="118"/>
    <col min="6913" max="6913" width="7.7109375" style="118" customWidth="1"/>
    <col min="6914" max="6914" width="10.5703125" style="118" customWidth="1"/>
    <col min="6915" max="6915" width="11.140625" style="118" bestFit="1" customWidth="1"/>
    <col min="6916" max="6916" width="22.140625" style="118" bestFit="1" customWidth="1"/>
    <col min="6917" max="6917" width="12.28515625" style="118" customWidth="1"/>
    <col min="6918" max="6918" width="12.5703125" style="118" customWidth="1"/>
    <col min="6919" max="6919" width="12.140625" style="118" customWidth="1"/>
    <col min="6920" max="6920" width="19.7109375" style="118" customWidth="1"/>
    <col min="6921" max="7168" width="9.140625" style="118"/>
    <col min="7169" max="7169" width="7.7109375" style="118" customWidth="1"/>
    <col min="7170" max="7170" width="10.5703125" style="118" customWidth="1"/>
    <col min="7171" max="7171" width="11.140625" style="118" bestFit="1" customWidth="1"/>
    <col min="7172" max="7172" width="22.140625" style="118" bestFit="1" customWidth="1"/>
    <col min="7173" max="7173" width="12.28515625" style="118" customWidth="1"/>
    <col min="7174" max="7174" width="12.5703125" style="118" customWidth="1"/>
    <col min="7175" max="7175" width="12.140625" style="118" customWidth="1"/>
    <col min="7176" max="7176" width="19.7109375" style="118" customWidth="1"/>
    <col min="7177" max="7424" width="9.140625" style="118"/>
    <col min="7425" max="7425" width="7.7109375" style="118" customWidth="1"/>
    <col min="7426" max="7426" width="10.5703125" style="118" customWidth="1"/>
    <col min="7427" max="7427" width="11.140625" style="118" bestFit="1" customWidth="1"/>
    <col min="7428" max="7428" width="22.140625" style="118" bestFit="1" customWidth="1"/>
    <col min="7429" max="7429" width="12.28515625" style="118" customWidth="1"/>
    <col min="7430" max="7430" width="12.5703125" style="118" customWidth="1"/>
    <col min="7431" max="7431" width="12.140625" style="118" customWidth="1"/>
    <col min="7432" max="7432" width="19.7109375" style="118" customWidth="1"/>
    <col min="7433" max="7680" width="9.140625" style="118"/>
    <col min="7681" max="7681" width="7.7109375" style="118" customWidth="1"/>
    <col min="7682" max="7682" width="10.5703125" style="118" customWidth="1"/>
    <col min="7683" max="7683" width="11.140625" style="118" bestFit="1" customWidth="1"/>
    <col min="7684" max="7684" width="22.140625" style="118" bestFit="1" customWidth="1"/>
    <col min="7685" max="7685" width="12.28515625" style="118" customWidth="1"/>
    <col min="7686" max="7686" width="12.5703125" style="118" customWidth="1"/>
    <col min="7687" max="7687" width="12.140625" style="118" customWidth="1"/>
    <col min="7688" max="7688" width="19.7109375" style="118" customWidth="1"/>
    <col min="7689" max="7936" width="9.140625" style="118"/>
    <col min="7937" max="7937" width="7.7109375" style="118" customWidth="1"/>
    <col min="7938" max="7938" width="10.5703125" style="118" customWidth="1"/>
    <col min="7939" max="7939" width="11.140625" style="118" bestFit="1" customWidth="1"/>
    <col min="7940" max="7940" width="22.140625" style="118" bestFit="1" customWidth="1"/>
    <col min="7941" max="7941" width="12.28515625" style="118" customWidth="1"/>
    <col min="7942" max="7942" width="12.5703125" style="118" customWidth="1"/>
    <col min="7943" max="7943" width="12.140625" style="118" customWidth="1"/>
    <col min="7944" max="7944" width="19.7109375" style="118" customWidth="1"/>
    <col min="7945" max="8192" width="9.140625" style="118"/>
    <col min="8193" max="8193" width="7.7109375" style="118" customWidth="1"/>
    <col min="8194" max="8194" width="10.5703125" style="118" customWidth="1"/>
    <col min="8195" max="8195" width="11.140625" style="118" bestFit="1" customWidth="1"/>
    <col min="8196" max="8196" width="22.140625" style="118" bestFit="1" customWidth="1"/>
    <col min="8197" max="8197" width="12.28515625" style="118" customWidth="1"/>
    <col min="8198" max="8198" width="12.5703125" style="118" customWidth="1"/>
    <col min="8199" max="8199" width="12.140625" style="118" customWidth="1"/>
    <col min="8200" max="8200" width="19.7109375" style="118" customWidth="1"/>
    <col min="8201" max="8448" width="9.140625" style="118"/>
    <col min="8449" max="8449" width="7.7109375" style="118" customWidth="1"/>
    <col min="8450" max="8450" width="10.5703125" style="118" customWidth="1"/>
    <col min="8451" max="8451" width="11.140625" style="118" bestFit="1" customWidth="1"/>
    <col min="8452" max="8452" width="22.140625" style="118" bestFit="1" customWidth="1"/>
    <col min="8453" max="8453" width="12.28515625" style="118" customWidth="1"/>
    <col min="8454" max="8454" width="12.5703125" style="118" customWidth="1"/>
    <col min="8455" max="8455" width="12.140625" style="118" customWidth="1"/>
    <col min="8456" max="8456" width="19.7109375" style="118" customWidth="1"/>
    <col min="8457" max="8704" width="9.140625" style="118"/>
    <col min="8705" max="8705" width="7.7109375" style="118" customWidth="1"/>
    <col min="8706" max="8706" width="10.5703125" style="118" customWidth="1"/>
    <col min="8707" max="8707" width="11.140625" style="118" bestFit="1" customWidth="1"/>
    <col min="8708" max="8708" width="22.140625" style="118" bestFit="1" customWidth="1"/>
    <col min="8709" max="8709" width="12.28515625" style="118" customWidth="1"/>
    <col min="8710" max="8710" width="12.5703125" style="118" customWidth="1"/>
    <col min="8711" max="8711" width="12.140625" style="118" customWidth="1"/>
    <col min="8712" max="8712" width="19.7109375" style="118" customWidth="1"/>
    <col min="8713" max="8960" width="9.140625" style="118"/>
    <col min="8961" max="8961" width="7.7109375" style="118" customWidth="1"/>
    <col min="8962" max="8962" width="10.5703125" style="118" customWidth="1"/>
    <col min="8963" max="8963" width="11.140625" style="118" bestFit="1" customWidth="1"/>
    <col min="8964" max="8964" width="22.140625" style="118" bestFit="1" customWidth="1"/>
    <col min="8965" max="8965" width="12.28515625" style="118" customWidth="1"/>
    <col min="8966" max="8966" width="12.5703125" style="118" customWidth="1"/>
    <col min="8967" max="8967" width="12.140625" style="118" customWidth="1"/>
    <col min="8968" max="8968" width="19.7109375" style="118" customWidth="1"/>
    <col min="8969" max="9216" width="9.140625" style="118"/>
    <col min="9217" max="9217" width="7.7109375" style="118" customWidth="1"/>
    <col min="9218" max="9218" width="10.5703125" style="118" customWidth="1"/>
    <col min="9219" max="9219" width="11.140625" style="118" bestFit="1" customWidth="1"/>
    <col min="9220" max="9220" width="22.140625" style="118" bestFit="1" customWidth="1"/>
    <col min="9221" max="9221" width="12.28515625" style="118" customWidth="1"/>
    <col min="9222" max="9222" width="12.5703125" style="118" customWidth="1"/>
    <col min="9223" max="9223" width="12.140625" style="118" customWidth="1"/>
    <col min="9224" max="9224" width="19.7109375" style="118" customWidth="1"/>
    <col min="9225" max="9472" width="9.140625" style="118"/>
    <col min="9473" max="9473" width="7.7109375" style="118" customWidth="1"/>
    <col min="9474" max="9474" width="10.5703125" style="118" customWidth="1"/>
    <col min="9475" max="9475" width="11.140625" style="118" bestFit="1" customWidth="1"/>
    <col min="9476" max="9476" width="22.140625" style="118" bestFit="1" customWidth="1"/>
    <col min="9477" max="9477" width="12.28515625" style="118" customWidth="1"/>
    <col min="9478" max="9478" width="12.5703125" style="118" customWidth="1"/>
    <col min="9479" max="9479" width="12.140625" style="118" customWidth="1"/>
    <col min="9480" max="9480" width="19.7109375" style="118" customWidth="1"/>
    <col min="9481" max="9728" width="9.140625" style="118"/>
    <col min="9729" max="9729" width="7.7109375" style="118" customWidth="1"/>
    <col min="9730" max="9730" width="10.5703125" style="118" customWidth="1"/>
    <col min="9731" max="9731" width="11.140625" style="118" bestFit="1" customWidth="1"/>
    <col min="9732" max="9732" width="22.140625" style="118" bestFit="1" customWidth="1"/>
    <col min="9733" max="9733" width="12.28515625" style="118" customWidth="1"/>
    <col min="9734" max="9734" width="12.5703125" style="118" customWidth="1"/>
    <col min="9735" max="9735" width="12.140625" style="118" customWidth="1"/>
    <col min="9736" max="9736" width="19.7109375" style="118" customWidth="1"/>
    <col min="9737" max="9984" width="9.140625" style="118"/>
    <col min="9985" max="9985" width="7.7109375" style="118" customWidth="1"/>
    <col min="9986" max="9986" width="10.5703125" style="118" customWidth="1"/>
    <col min="9987" max="9987" width="11.140625" style="118" bestFit="1" customWidth="1"/>
    <col min="9988" max="9988" width="22.140625" style="118" bestFit="1" customWidth="1"/>
    <col min="9989" max="9989" width="12.28515625" style="118" customWidth="1"/>
    <col min="9990" max="9990" width="12.5703125" style="118" customWidth="1"/>
    <col min="9991" max="9991" width="12.140625" style="118" customWidth="1"/>
    <col min="9992" max="9992" width="19.7109375" style="118" customWidth="1"/>
    <col min="9993" max="10240" width="9.140625" style="118"/>
    <col min="10241" max="10241" width="7.7109375" style="118" customWidth="1"/>
    <col min="10242" max="10242" width="10.5703125" style="118" customWidth="1"/>
    <col min="10243" max="10243" width="11.140625" style="118" bestFit="1" customWidth="1"/>
    <col min="10244" max="10244" width="22.140625" style="118" bestFit="1" customWidth="1"/>
    <col min="10245" max="10245" width="12.28515625" style="118" customWidth="1"/>
    <col min="10246" max="10246" width="12.5703125" style="118" customWidth="1"/>
    <col min="10247" max="10247" width="12.140625" style="118" customWidth="1"/>
    <col min="10248" max="10248" width="19.7109375" style="118" customWidth="1"/>
    <col min="10249" max="10496" width="9.140625" style="118"/>
    <col min="10497" max="10497" width="7.7109375" style="118" customWidth="1"/>
    <col min="10498" max="10498" width="10.5703125" style="118" customWidth="1"/>
    <col min="10499" max="10499" width="11.140625" style="118" bestFit="1" customWidth="1"/>
    <col min="10500" max="10500" width="22.140625" style="118" bestFit="1" customWidth="1"/>
    <col min="10501" max="10501" width="12.28515625" style="118" customWidth="1"/>
    <col min="10502" max="10502" width="12.5703125" style="118" customWidth="1"/>
    <col min="10503" max="10503" width="12.140625" style="118" customWidth="1"/>
    <col min="10504" max="10504" width="19.7109375" style="118" customWidth="1"/>
    <col min="10505" max="10752" width="9.140625" style="118"/>
    <col min="10753" max="10753" width="7.7109375" style="118" customWidth="1"/>
    <col min="10754" max="10754" width="10.5703125" style="118" customWidth="1"/>
    <col min="10755" max="10755" width="11.140625" style="118" bestFit="1" customWidth="1"/>
    <col min="10756" max="10756" width="22.140625" style="118" bestFit="1" customWidth="1"/>
    <col min="10757" max="10757" width="12.28515625" style="118" customWidth="1"/>
    <col min="10758" max="10758" width="12.5703125" style="118" customWidth="1"/>
    <col min="10759" max="10759" width="12.140625" style="118" customWidth="1"/>
    <col min="10760" max="10760" width="19.7109375" style="118" customWidth="1"/>
    <col min="10761" max="11008" width="9.140625" style="118"/>
    <col min="11009" max="11009" width="7.7109375" style="118" customWidth="1"/>
    <col min="11010" max="11010" width="10.5703125" style="118" customWidth="1"/>
    <col min="11011" max="11011" width="11.140625" style="118" bestFit="1" customWidth="1"/>
    <col min="11012" max="11012" width="22.140625" style="118" bestFit="1" customWidth="1"/>
    <col min="11013" max="11013" width="12.28515625" style="118" customWidth="1"/>
    <col min="11014" max="11014" width="12.5703125" style="118" customWidth="1"/>
    <col min="11015" max="11015" width="12.140625" style="118" customWidth="1"/>
    <col min="11016" max="11016" width="19.7109375" style="118" customWidth="1"/>
    <col min="11017" max="11264" width="9.140625" style="118"/>
    <col min="11265" max="11265" width="7.7109375" style="118" customWidth="1"/>
    <col min="11266" max="11266" width="10.5703125" style="118" customWidth="1"/>
    <col min="11267" max="11267" width="11.140625" style="118" bestFit="1" customWidth="1"/>
    <col min="11268" max="11268" width="22.140625" style="118" bestFit="1" customWidth="1"/>
    <col min="11269" max="11269" width="12.28515625" style="118" customWidth="1"/>
    <col min="11270" max="11270" width="12.5703125" style="118" customWidth="1"/>
    <col min="11271" max="11271" width="12.140625" style="118" customWidth="1"/>
    <col min="11272" max="11272" width="19.7109375" style="118" customWidth="1"/>
    <col min="11273" max="11520" width="9.140625" style="118"/>
    <col min="11521" max="11521" width="7.7109375" style="118" customWidth="1"/>
    <col min="11522" max="11522" width="10.5703125" style="118" customWidth="1"/>
    <col min="11523" max="11523" width="11.140625" style="118" bestFit="1" customWidth="1"/>
    <col min="11524" max="11524" width="22.140625" style="118" bestFit="1" customWidth="1"/>
    <col min="11525" max="11525" width="12.28515625" style="118" customWidth="1"/>
    <col min="11526" max="11526" width="12.5703125" style="118" customWidth="1"/>
    <col min="11527" max="11527" width="12.140625" style="118" customWidth="1"/>
    <col min="11528" max="11528" width="19.7109375" style="118" customWidth="1"/>
    <col min="11529" max="11776" width="9.140625" style="118"/>
    <col min="11777" max="11777" width="7.7109375" style="118" customWidth="1"/>
    <col min="11778" max="11778" width="10.5703125" style="118" customWidth="1"/>
    <col min="11779" max="11779" width="11.140625" style="118" bestFit="1" customWidth="1"/>
    <col min="11780" max="11780" width="22.140625" style="118" bestFit="1" customWidth="1"/>
    <col min="11781" max="11781" width="12.28515625" style="118" customWidth="1"/>
    <col min="11782" max="11782" width="12.5703125" style="118" customWidth="1"/>
    <col min="11783" max="11783" width="12.140625" style="118" customWidth="1"/>
    <col min="11784" max="11784" width="19.7109375" style="118" customWidth="1"/>
    <col min="11785" max="12032" width="9.140625" style="118"/>
    <col min="12033" max="12033" width="7.7109375" style="118" customWidth="1"/>
    <col min="12034" max="12034" width="10.5703125" style="118" customWidth="1"/>
    <col min="12035" max="12035" width="11.140625" style="118" bestFit="1" customWidth="1"/>
    <col min="12036" max="12036" width="22.140625" style="118" bestFit="1" customWidth="1"/>
    <col min="12037" max="12037" width="12.28515625" style="118" customWidth="1"/>
    <col min="12038" max="12038" width="12.5703125" style="118" customWidth="1"/>
    <col min="12039" max="12039" width="12.140625" style="118" customWidth="1"/>
    <col min="12040" max="12040" width="19.7109375" style="118" customWidth="1"/>
    <col min="12041" max="12288" width="9.140625" style="118"/>
    <col min="12289" max="12289" width="7.7109375" style="118" customWidth="1"/>
    <col min="12290" max="12290" width="10.5703125" style="118" customWidth="1"/>
    <col min="12291" max="12291" width="11.140625" style="118" bestFit="1" customWidth="1"/>
    <col min="12292" max="12292" width="22.140625" style="118" bestFit="1" customWidth="1"/>
    <col min="12293" max="12293" width="12.28515625" style="118" customWidth="1"/>
    <col min="12294" max="12294" width="12.5703125" style="118" customWidth="1"/>
    <col min="12295" max="12295" width="12.140625" style="118" customWidth="1"/>
    <col min="12296" max="12296" width="19.7109375" style="118" customWidth="1"/>
    <col min="12297" max="12544" width="9.140625" style="118"/>
    <col min="12545" max="12545" width="7.7109375" style="118" customWidth="1"/>
    <col min="12546" max="12546" width="10.5703125" style="118" customWidth="1"/>
    <col min="12547" max="12547" width="11.140625" style="118" bestFit="1" customWidth="1"/>
    <col min="12548" max="12548" width="22.140625" style="118" bestFit="1" customWidth="1"/>
    <col min="12549" max="12549" width="12.28515625" style="118" customWidth="1"/>
    <col min="12550" max="12550" width="12.5703125" style="118" customWidth="1"/>
    <col min="12551" max="12551" width="12.140625" style="118" customWidth="1"/>
    <col min="12552" max="12552" width="19.7109375" style="118" customWidth="1"/>
    <col min="12553" max="12800" width="9.140625" style="118"/>
    <col min="12801" max="12801" width="7.7109375" style="118" customWidth="1"/>
    <col min="12802" max="12802" width="10.5703125" style="118" customWidth="1"/>
    <col min="12803" max="12803" width="11.140625" style="118" bestFit="1" customWidth="1"/>
    <col min="12804" max="12804" width="22.140625" style="118" bestFit="1" customWidth="1"/>
    <col min="12805" max="12805" width="12.28515625" style="118" customWidth="1"/>
    <col min="12806" max="12806" width="12.5703125" style="118" customWidth="1"/>
    <col min="12807" max="12807" width="12.140625" style="118" customWidth="1"/>
    <col min="12808" max="12808" width="19.7109375" style="118" customWidth="1"/>
    <col min="12809" max="13056" width="9.140625" style="118"/>
    <col min="13057" max="13057" width="7.7109375" style="118" customWidth="1"/>
    <col min="13058" max="13058" width="10.5703125" style="118" customWidth="1"/>
    <col min="13059" max="13059" width="11.140625" style="118" bestFit="1" customWidth="1"/>
    <col min="13060" max="13060" width="22.140625" style="118" bestFit="1" customWidth="1"/>
    <col min="13061" max="13061" width="12.28515625" style="118" customWidth="1"/>
    <col min="13062" max="13062" width="12.5703125" style="118" customWidth="1"/>
    <col min="13063" max="13063" width="12.140625" style="118" customWidth="1"/>
    <col min="13064" max="13064" width="19.7109375" style="118" customWidth="1"/>
    <col min="13065" max="13312" width="9.140625" style="118"/>
    <col min="13313" max="13313" width="7.7109375" style="118" customWidth="1"/>
    <col min="13314" max="13314" width="10.5703125" style="118" customWidth="1"/>
    <col min="13315" max="13315" width="11.140625" style="118" bestFit="1" customWidth="1"/>
    <col min="13316" max="13316" width="22.140625" style="118" bestFit="1" customWidth="1"/>
    <col min="13317" max="13317" width="12.28515625" style="118" customWidth="1"/>
    <col min="13318" max="13318" width="12.5703125" style="118" customWidth="1"/>
    <col min="13319" max="13319" width="12.140625" style="118" customWidth="1"/>
    <col min="13320" max="13320" width="19.7109375" style="118" customWidth="1"/>
    <col min="13321" max="13568" width="9.140625" style="118"/>
    <col min="13569" max="13569" width="7.7109375" style="118" customWidth="1"/>
    <col min="13570" max="13570" width="10.5703125" style="118" customWidth="1"/>
    <col min="13571" max="13571" width="11.140625" style="118" bestFit="1" customWidth="1"/>
    <col min="13572" max="13572" width="22.140625" style="118" bestFit="1" customWidth="1"/>
    <col min="13573" max="13573" width="12.28515625" style="118" customWidth="1"/>
    <col min="13574" max="13574" width="12.5703125" style="118" customWidth="1"/>
    <col min="13575" max="13575" width="12.140625" style="118" customWidth="1"/>
    <col min="13576" max="13576" width="19.7109375" style="118" customWidth="1"/>
    <col min="13577" max="13824" width="9.140625" style="118"/>
    <col min="13825" max="13825" width="7.7109375" style="118" customWidth="1"/>
    <col min="13826" max="13826" width="10.5703125" style="118" customWidth="1"/>
    <col min="13827" max="13827" width="11.140625" style="118" bestFit="1" customWidth="1"/>
    <col min="13828" max="13828" width="22.140625" style="118" bestFit="1" customWidth="1"/>
    <col min="13829" max="13829" width="12.28515625" style="118" customWidth="1"/>
    <col min="13830" max="13830" width="12.5703125" style="118" customWidth="1"/>
    <col min="13831" max="13831" width="12.140625" style="118" customWidth="1"/>
    <col min="13832" max="13832" width="19.7109375" style="118" customWidth="1"/>
    <col min="13833" max="14080" width="9.140625" style="118"/>
    <col min="14081" max="14081" width="7.7109375" style="118" customWidth="1"/>
    <col min="14082" max="14082" width="10.5703125" style="118" customWidth="1"/>
    <col min="14083" max="14083" width="11.140625" style="118" bestFit="1" customWidth="1"/>
    <col min="14084" max="14084" width="22.140625" style="118" bestFit="1" customWidth="1"/>
    <col min="14085" max="14085" width="12.28515625" style="118" customWidth="1"/>
    <col min="14086" max="14086" width="12.5703125" style="118" customWidth="1"/>
    <col min="14087" max="14087" width="12.140625" style="118" customWidth="1"/>
    <col min="14088" max="14088" width="19.7109375" style="118" customWidth="1"/>
    <col min="14089" max="14336" width="9.140625" style="118"/>
    <col min="14337" max="14337" width="7.7109375" style="118" customWidth="1"/>
    <col min="14338" max="14338" width="10.5703125" style="118" customWidth="1"/>
    <col min="14339" max="14339" width="11.140625" style="118" bestFit="1" customWidth="1"/>
    <col min="14340" max="14340" width="22.140625" style="118" bestFit="1" customWidth="1"/>
    <col min="14341" max="14341" width="12.28515625" style="118" customWidth="1"/>
    <col min="14342" max="14342" width="12.5703125" style="118" customWidth="1"/>
    <col min="14343" max="14343" width="12.140625" style="118" customWidth="1"/>
    <col min="14344" max="14344" width="19.7109375" style="118" customWidth="1"/>
    <col min="14345" max="14592" width="9.140625" style="118"/>
    <col min="14593" max="14593" width="7.7109375" style="118" customWidth="1"/>
    <col min="14594" max="14594" width="10.5703125" style="118" customWidth="1"/>
    <col min="14595" max="14595" width="11.140625" style="118" bestFit="1" customWidth="1"/>
    <col min="14596" max="14596" width="22.140625" style="118" bestFit="1" customWidth="1"/>
    <col min="14597" max="14597" width="12.28515625" style="118" customWidth="1"/>
    <col min="14598" max="14598" width="12.5703125" style="118" customWidth="1"/>
    <col min="14599" max="14599" width="12.140625" style="118" customWidth="1"/>
    <col min="14600" max="14600" width="19.7109375" style="118" customWidth="1"/>
    <col min="14601" max="14848" width="9.140625" style="118"/>
    <col min="14849" max="14849" width="7.7109375" style="118" customWidth="1"/>
    <col min="14850" max="14850" width="10.5703125" style="118" customWidth="1"/>
    <col min="14851" max="14851" width="11.140625" style="118" bestFit="1" customWidth="1"/>
    <col min="14852" max="14852" width="22.140625" style="118" bestFit="1" customWidth="1"/>
    <col min="14853" max="14853" width="12.28515625" style="118" customWidth="1"/>
    <col min="14854" max="14854" width="12.5703125" style="118" customWidth="1"/>
    <col min="14855" max="14855" width="12.140625" style="118" customWidth="1"/>
    <col min="14856" max="14856" width="19.7109375" style="118" customWidth="1"/>
    <col min="14857" max="15104" width="9.140625" style="118"/>
    <col min="15105" max="15105" width="7.7109375" style="118" customWidth="1"/>
    <col min="15106" max="15106" width="10.5703125" style="118" customWidth="1"/>
    <col min="15107" max="15107" width="11.140625" style="118" bestFit="1" customWidth="1"/>
    <col min="15108" max="15108" width="22.140625" style="118" bestFit="1" customWidth="1"/>
    <col min="15109" max="15109" width="12.28515625" style="118" customWidth="1"/>
    <col min="15110" max="15110" width="12.5703125" style="118" customWidth="1"/>
    <col min="15111" max="15111" width="12.140625" style="118" customWidth="1"/>
    <col min="15112" max="15112" width="19.7109375" style="118" customWidth="1"/>
    <col min="15113" max="15360" width="9.140625" style="118"/>
    <col min="15361" max="15361" width="7.7109375" style="118" customWidth="1"/>
    <col min="15362" max="15362" width="10.5703125" style="118" customWidth="1"/>
    <col min="15363" max="15363" width="11.140625" style="118" bestFit="1" customWidth="1"/>
    <col min="15364" max="15364" width="22.140625" style="118" bestFit="1" customWidth="1"/>
    <col min="15365" max="15365" width="12.28515625" style="118" customWidth="1"/>
    <col min="15366" max="15366" width="12.5703125" style="118" customWidth="1"/>
    <col min="15367" max="15367" width="12.140625" style="118" customWidth="1"/>
    <col min="15368" max="15368" width="19.7109375" style="118" customWidth="1"/>
    <col min="15369" max="15616" width="9.140625" style="118"/>
    <col min="15617" max="15617" width="7.7109375" style="118" customWidth="1"/>
    <col min="15618" max="15618" width="10.5703125" style="118" customWidth="1"/>
    <col min="15619" max="15619" width="11.140625" style="118" bestFit="1" customWidth="1"/>
    <col min="15620" max="15620" width="22.140625" style="118" bestFit="1" customWidth="1"/>
    <col min="15621" max="15621" width="12.28515625" style="118" customWidth="1"/>
    <col min="15622" max="15622" width="12.5703125" style="118" customWidth="1"/>
    <col min="15623" max="15623" width="12.140625" style="118" customWidth="1"/>
    <col min="15624" max="15624" width="19.7109375" style="118" customWidth="1"/>
    <col min="15625" max="15872" width="9.140625" style="118"/>
    <col min="15873" max="15873" width="7.7109375" style="118" customWidth="1"/>
    <col min="15874" max="15874" width="10.5703125" style="118" customWidth="1"/>
    <col min="15875" max="15875" width="11.140625" style="118" bestFit="1" customWidth="1"/>
    <col min="15876" max="15876" width="22.140625" style="118" bestFit="1" customWidth="1"/>
    <col min="15877" max="15877" width="12.28515625" style="118" customWidth="1"/>
    <col min="15878" max="15878" width="12.5703125" style="118" customWidth="1"/>
    <col min="15879" max="15879" width="12.140625" style="118" customWidth="1"/>
    <col min="15880" max="15880" width="19.7109375" style="118" customWidth="1"/>
    <col min="15881" max="16128" width="9.140625" style="118"/>
    <col min="16129" max="16129" width="7.7109375" style="118" customWidth="1"/>
    <col min="16130" max="16130" width="10.5703125" style="118" customWidth="1"/>
    <col min="16131" max="16131" width="11.140625" style="118" bestFit="1" customWidth="1"/>
    <col min="16132" max="16132" width="22.140625" style="118" bestFit="1" customWidth="1"/>
    <col min="16133" max="16133" width="12.28515625" style="118" customWidth="1"/>
    <col min="16134" max="16134" width="12.5703125" style="118" customWidth="1"/>
    <col min="16135" max="16135" width="12.140625" style="118" customWidth="1"/>
    <col min="16136" max="16136" width="19.7109375" style="118" customWidth="1"/>
    <col min="16137" max="16384" width="9.140625" style="118"/>
  </cols>
  <sheetData>
    <row r="1" spans="1:10" s="204" customFormat="1" ht="50.1" customHeight="1">
      <c r="A1" s="4200"/>
      <c r="B1" s="4200"/>
      <c r="C1" s="103"/>
      <c r="D1" s="103"/>
      <c r="E1" s="103"/>
      <c r="F1" s="103"/>
      <c r="G1" s="196" t="s">
        <v>1460</v>
      </c>
    </row>
    <row r="2" spans="1:10" s="204" customFormat="1" ht="45" customHeight="1">
      <c r="A2" s="4007" t="s">
        <v>1435</v>
      </c>
      <c r="B2" s="4007"/>
      <c r="C2" s="4007"/>
      <c r="D2" s="4007"/>
      <c r="E2" s="4007"/>
      <c r="F2" s="4007"/>
      <c r="G2" s="4007"/>
    </row>
    <row r="3" spans="1:10" s="204" customFormat="1" ht="15">
      <c r="A3" s="116"/>
      <c r="B3" s="116"/>
      <c r="C3" s="116"/>
      <c r="D3" s="116"/>
      <c r="E3" s="116"/>
      <c r="F3" s="116"/>
      <c r="G3" s="7" t="s">
        <v>5</v>
      </c>
    </row>
    <row r="4" spans="1:10" s="3002" customFormat="1" ht="20.100000000000001" customHeight="1" thickBot="1">
      <c r="A4" s="4201" t="s">
        <v>1436</v>
      </c>
      <c r="B4" s="4201"/>
      <c r="C4" s="4201"/>
      <c r="D4" s="4201"/>
      <c r="E4" s="4201"/>
      <c r="F4" s="4201"/>
      <c r="G4" s="4201"/>
      <c r="H4" s="3027"/>
      <c r="I4" s="2975"/>
      <c r="J4" s="2975"/>
    </row>
    <row r="5" spans="1:10" s="2958" customFormat="1" ht="15" customHeight="1">
      <c r="A5" s="4202" t="s">
        <v>0</v>
      </c>
      <c r="B5" s="4204" t="s">
        <v>30</v>
      </c>
      <c r="C5" s="4204" t="s">
        <v>2</v>
      </c>
      <c r="D5" s="4206" t="s">
        <v>1425</v>
      </c>
      <c r="E5" s="4204" t="s">
        <v>1</v>
      </c>
      <c r="F5" s="4204"/>
      <c r="G5" s="4208" t="s">
        <v>86</v>
      </c>
      <c r="H5" s="3028"/>
      <c r="I5" s="3029"/>
      <c r="J5" s="3029"/>
    </row>
    <row r="6" spans="1:10" s="2958" customFormat="1" ht="20.100000000000001" customHeight="1">
      <c r="A6" s="4203"/>
      <c r="B6" s="4205"/>
      <c r="C6" s="4205"/>
      <c r="D6" s="4207"/>
      <c r="E6" s="2976" t="s">
        <v>132</v>
      </c>
      <c r="F6" s="2976" t="s">
        <v>88</v>
      </c>
      <c r="G6" s="4209"/>
      <c r="H6" s="3028"/>
      <c r="I6" s="3029"/>
      <c r="J6" s="3029"/>
    </row>
    <row r="7" spans="1:10" s="2958" customFormat="1" ht="39.950000000000003" customHeight="1">
      <c r="A7" s="4210">
        <v>750</v>
      </c>
      <c r="B7" s="4213">
        <v>75095</v>
      </c>
      <c r="C7" s="2977">
        <v>6208</v>
      </c>
      <c r="D7" s="2978">
        <f>SUM(E7:F7)</f>
        <v>350550</v>
      </c>
      <c r="E7" s="3030">
        <v>0</v>
      </c>
      <c r="F7" s="2978">
        <v>350550</v>
      </c>
      <c r="G7" s="4216" t="s">
        <v>1437</v>
      </c>
      <c r="H7" s="3028"/>
      <c r="I7" s="3029"/>
      <c r="J7" s="3029"/>
    </row>
    <row r="8" spans="1:10" s="2958" customFormat="1" ht="39.950000000000003" customHeight="1">
      <c r="A8" s="4212"/>
      <c r="B8" s="4215"/>
      <c r="C8" s="2977">
        <v>6209</v>
      </c>
      <c r="D8" s="2978">
        <f>SUM(E8:F8)</f>
        <v>61862</v>
      </c>
      <c r="E8" s="3030">
        <v>0</v>
      </c>
      <c r="F8" s="2978">
        <v>61862</v>
      </c>
      <c r="G8" s="4218"/>
      <c r="H8" s="3028"/>
      <c r="I8" s="3029"/>
      <c r="J8" s="3029"/>
    </row>
    <row r="9" spans="1:10" s="204" customFormat="1" ht="30" customHeight="1" thickBot="1">
      <c r="A9" s="4219" t="s">
        <v>76</v>
      </c>
      <c r="B9" s="4220"/>
      <c r="C9" s="4220"/>
      <c r="D9" s="2980">
        <f>SUM(D7:D8)</f>
        <v>412412</v>
      </c>
      <c r="E9" s="2980">
        <f t="shared" ref="E9:F9" si="0">SUM(E7:E8)</f>
        <v>0</v>
      </c>
      <c r="F9" s="2980">
        <f t="shared" si="0"/>
        <v>412412</v>
      </c>
      <c r="G9" s="2981"/>
    </row>
    <row r="10" spans="1:10" s="3034" customFormat="1">
      <c r="A10" s="3031"/>
      <c r="B10" s="3031"/>
      <c r="C10" s="3031"/>
      <c r="D10" s="3032"/>
      <c r="E10" s="3032"/>
      <c r="F10" s="3032"/>
      <c r="G10" s="3033"/>
    </row>
    <row r="11" spans="1:10">
      <c r="A11" s="2987"/>
      <c r="B11" s="2988"/>
      <c r="C11" s="2989"/>
      <c r="D11" s="2989"/>
      <c r="E11" s="2989"/>
      <c r="F11" s="2989"/>
      <c r="G11" s="2990"/>
      <c r="H11" s="2991"/>
      <c r="I11" s="266"/>
      <c r="J11" s="266"/>
    </row>
    <row r="12" spans="1:10">
      <c r="A12" s="2987"/>
      <c r="B12" s="2988"/>
      <c r="C12" s="2989"/>
      <c r="D12" s="2989"/>
      <c r="E12" s="3035"/>
      <c r="F12" s="3035"/>
      <c r="G12" s="2990"/>
      <c r="H12" s="2991"/>
      <c r="I12" s="266"/>
      <c r="J12" s="266"/>
    </row>
    <row r="13" spans="1:10">
      <c r="A13" s="2992"/>
      <c r="B13" s="2988"/>
      <c r="C13" s="2989"/>
      <c r="D13" s="2989"/>
      <c r="E13" s="3035"/>
      <c r="F13" s="3035"/>
      <c r="G13" s="2993"/>
      <c r="H13" s="2991"/>
      <c r="I13" s="266"/>
      <c r="J13" s="266"/>
    </row>
    <row r="14" spans="1:10">
      <c r="A14" s="2992"/>
      <c r="B14" s="2988"/>
      <c r="C14" s="2989"/>
      <c r="D14" s="2989"/>
      <c r="E14" s="3036"/>
      <c r="F14" s="203"/>
      <c r="G14" s="2993"/>
      <c r="H14" s="2991"/>
      <c r="I14" s="266"/>
      <c r="J14" s="266"/>
    </row>
    <row r="15" spans="1:10">
      <c r="A15" s="2992"/>
      <c r="B15" s="2988"/>
      <c r="C15" s="2989"/>
      <c r="D15" s="2989"/>
      <c r="E15" s="2989"/>
      <c r="F15" s="2989"/>
      <c r="G15" s="2993"/>
      <c r="H15" s="2991"/>
      <c r="I15" s="266"/>
      <c r="J15" s="266"/>
    </row>
    <row r="16" spans="1:10" s="3000" customFormat="1">
      <c r="A16" s="2995"/>
      <c r="B16" s="2988"/>
      <c r="C16" s="2996"/>
      <c r="D16" s="2996"/>
      <c r="E16" s="2997"/>
      <c r="F16" s="2993"/>
      <c r="G16" s="2998"/>
      <c r="H16" s="2999"/>
      <c r="I16" s="2960"/>
      <c r="J16" s="2960"/>
    </row>
    <row r="17" spans="1:9">
      <c r="A17" s="2997"/>
      <c r="B17" s="2997"/>
      <c r="C17" s="2997"/>
      <c r="D17" s="3001"/>
      <c r="E17" s="2989"/>
      <c r="F17" s="2989"/>
      <c r="G17" s="2997"/>
      <c r="H17" s="273"/>
      <c r="I17" s="273"/>
    </row>
    <row r="18" spans="1:9">
      <c r="G18" s="2997"/>
      <c r="H18" s="273"/>
      <c r="I18" s="273"/>
    </row>
    <row r="19" spans="1:9">
      <c r="E19" s="2954"/>
      <c r="F19" s="2954"/>
    </row>
  </sheetData>
  <mergeCells count="13">
    <mergeCell ref="A7:A8"/>
    <mergeCell ref="B7:B8"/>
    <mergeCell ref="G7:G8"/>
    <mergeCell ref="A9:C9"/>
    <mergeCell ref="A1:B1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r:id="rId1"/>
  <headerFooter alignWithMargins="0"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Q541"/>
  <sheetViews>
    <sheetView view="pageBreakPreview" zoomScale="120" zoomScaleSheetLayoutView="120" workbookViewId="0">
      <selection activeCell="H2" sqref="H2"/>
    </sheetView>
  </sheetViews>
  <sheetFormatPr defaultRowHeight="12.75"/>
  <cols>
    <col min="1" max="1" width="6.140625" style="3" customWidth="1"/>
    <col min="2" max="3" width="8.85546875" style="3" customWidth="1"/>
    <col min="4" max="4" width="43.42578125" style="3" customWidth="1"/>
    <col min="5" max="5" width="11.28515625" style="3" customWidth="1"/>
    <col min="6" max="6" width="11.5703125" style="3" customWidth="1"/>
    <col min="7" max="7" width="9.140625" style="3"/>
    <col min="8" max="8" width="8.85546875" style="4" customWidth="1"/>
    <col min="9" max="16384" width="9.140625" style="3"/>
  </cols>
  <sheetData>
    <row r="1" spans="1:8" ht="53.25" customHeight="1">
      <c r="A1" s="1"/>
      <c r="B1" s="1"/>
      <c r="C1" s="2"/>
      <c r="D1" s="4251" t="s">
        <v>1461</v>
      </c>
      <c r="E1" s="4252"/>
    </row>
    <row r="2" spans="1:8" ht="64.5" customHeight="1">
      <c r="A2" s="4007" t="s">
        <v>28</v>
      </c>
      <c r="B2" s="4007"/>
      <c r="C2" s="4007"/>
      <c r="D2" s="4007"/>
      <c r="E2" s="4007"/>
      <c r="F2" s="5"/>
      <c r="G2" s="5"/>
    </row>
    <row r="3" spans="1:8" s="8" customFormat="1" ht="8.25" customHeight="1">
      <c r="A3" s="6"/>
      <c r="B3" s="6"/>
      <c r="C3" s="6"/>
      <c r="D3" s="6"/>
      <c r="E3" s="7"/>
      <c r="H3" s="9"/>
    </row>
    <row r="4" spans="1:8" ht="33.75" customHeight="1">
      <c r="A4" s="4253" t="s">
        <v>29</v>
      </c>
      <c r="B4" s="4254"/>
      <c r="C4" s="4254"/>
      <c r="D4" s="4254"/>
      <c r="E4" s="4255"/>
    </row>
    <row r="5" spans="1:8" ht="13.5" customHeight="1" thickBot="1">
      <c r="A5" s="4256" t="s">
        <v>5</v>
      </c>
      <c r="B5" s="4256"/>
      <c r="C5" s="4256"/>
      <c r="D5" s="4256"/>
      <c r="E5" s="4256"/>
    </row>
    <row r="6" spans="1:8" ht="18.75" customHeight="1" thickBot="1">
      <c r="A6" s="10" t="s">
        <v>0</v>
      </c>
      <c r="B6" s="11" t="s">
        <v>30</v>
      </c>
      <c r="C6" s="11" t="s">
        <v>2</v>
      </c>
      <c r="D6" s="11" t="s">
        <v>31</v>
      </c>
      <c r="E6" s="12" t="s">
        <v>32</v>
      </c>
    </row>
    <row r="7" spans="1:8" ht="18.75" customHeight="1">
      <c r="A7" s="4257" t="s">
        <v>6</v>
      </c>
      <c r="B7" s="4260" t="s">
        <v>10</v>
      </c>
      <c r="C7" s="4261"/>
      <c r="D7" s="4262"/>
      <c r="E7" s="13">
        <f>SUM(E8)</f>
        <v>3585000</v>
      </c>
      <c r="G7" s="4"/>
    </row>
    <row r="8" spans="1:8" s="4" customFormat="1">
      <c r="A8" s="4258"/>
      <c r="B8" s="4247" t="s">
        <v>7</v>
      </c>
      <c r="C8" s="4248" t="s">
        <v>11</v>
      </c>
      <c r="D8" s="4248"/>
      <c r="E8" s="14">
        <f>SUM(E9)</f>
        <v>3585000</v>
      </c>
      <c r="F8" s="3"/>
      <c r="G8" s="3"/>
    </row>
    <row r="9" spans="1:8" s="4" customFormat="1">
      <c r="A9" s="4259"/>
      <c r="B9" s="4247"/>
      <c r="C9" s="15">
        <v>2210</v>
      </c>
      <c r="D9" s="16"/>
      <c r="E9" s="17">
        <v>3585000</v>
      </c>
      <c r="F9" s="3"/>
      <c r="G9" s="3"/>
    </row>
    <row r="10" spans="1:8" s="4" customFormat="1" ht="18.75" customHeight="1">
      <c r="A10" s="4243" t="s">
        <v>33</v>
      </c>
      <c r="B10" s="4244" t="s">
        <v>8</v>
      </c>
      <c r="C10" s="4245"/>
      <c r="D10" s="4246"/>
      <c r="E10" s="18">
        <f>E11+E13</f>
        <v>52158000</v>
      </c>
      <c r="F10" s="3"/>
    </row>
    <row r="11" spans="1:8" s="4" customFormat="1">
      <c r="A11" s="4243"/>
      <c r="B11" s="4247" t="s">
        <v>34</v>
      </c>
      <c r="C11" s="4248" t="s">
        <v>15</v>
      </c>
      <c r="D11" s="4248"/>
      <c r="E11" s="14">
        <f>SUM(E12)</f>
        <v>51873000</v>
      </c>
      <c r="F11" s="3"/>
      <c r="G11" s="3"/>
    </row>
    <row r="12" spans="1:8" s="4" customFormat="1">
      <c r="A12" s="4243"/>
      <c r="B12" s="4247"/>
      <c r="C12" s="15">
        <v>2210</v>
      </c>
      <c r="D12" s="16"/>
      <c r="E12" s="17">
        <v>51873000</v>
      </c>
      <c r="F12" s="3"/>
      <c r="G12" s="3"/>
    </row>
    <row r="13" spans="1:8" s="4" customFormat="1">
      <c r="A13" s="4243"/>
      <c r="B13" s="4247" t="s">
        <v>35</v>
      </c>
      <c r="C13" s="4248" t="s">
        <v>11</v>
      </c>
      <c r="D13" s="4248"/>
      <c r="E13" s="14">
        <f>SUM(E14)</f>
        <v>285000</v>
      </c>
      <c r="F13" s="3"/>
      <c r="G13" s="3"/>
    </row>
    <row r="14" spans="1:8" s="4" customFormat="1">
      <c r="A14" s="4243"/>
      <c r="B14" s="4247"/>
      <c r="C14" s="15">
        <v>2210</v>
      </c>
      <c r="D14" s="16"/>
      <c r="E14" s="17">
        <v>285000</v>
      </c>
      <c r="F14" s="3"/>
      <c r="G14" s="3"/>
    </row>
    <row r="15" spans="1:8" s="4" customFormat="1" ht="19.5" customHeight="1">
      <c r="A15" s="4263" t="s">
        <v>36</v>
      </c>
      <c r="B15" s="4244" t="s">
        <v>16</v>
      </c>
      <c r="C15" s="4245"/>
      <c r="D15" s="4246"/>
      <c r="E15" s="18">
        <f>E16</f>
        <v>50000</v>
      </c>
      <c r="F15" s="3"/>
    </row>
    <row r="16" spans="1:8" s="4" customFormat="1">
      <c r="A16" s="4258"/>
      <c r="B16" s="4247" t="s">
        <v>37</v>
      </c>
      <c r="C16" s="4248" t="s">
        <v>11</v>
      </c>
      <c r="D16" s="4248"/>
      <c r="E16" s="14">
        <f>SUM(E17)</f>
        <v>50000</v>
      </c>
      <c r="F16" s="3"/>
      <c r="G16" s="3"/>
    </row>
    <row r="17" spans="1:7" s="4" customFormat="1">
      <c r="A17" s="4259"/>
      <c r="B17" s="4247"/>
      <c r="C17" s="15">
        <v>2210</v>
      </c>
      <c r="D17" s="16"/>
      <c r="E17" s="17">
        <v>50000</v>
      </c>
      <c r="F17" s="3"/>
      <c r="G17" s="3"/>
    </row>
    <row r="18" spans="1:7" s="4" customFormat="1" ht="18.75" customHeight="1">
      <c r="A18" s="4243" t="s">
        <v>38</v>
      </c>
      <c r="B18" s="4244" t="s">
        <v>17</v>
      </c>
      <c r="C18" s="4245"/>
      <c r="D18" s="4246"/>
      <c r="E18" s="18">
        <f>SUM(E19)</f>
        <v>398000</v>
      </c>
      <c r="F18" s="3"/>
      <c r="G18" s="3"/>
    </row>
    <row r="19" spans="1:7" s="4" customFormat="1">
      <c r="A19" s="4243"/>
      <c r="B19" s="4247" t="s">
        <v>39</v>
      </c>
      <c r="C19" s="4248" t="s">
        <v>19</v>
      </c>
      <c r="D19" s="4248"/>
      <c r="E19" s="14">
        <f>SUM(E20)</f>
        <v>398000</v>
      </c>
      <c r="F19" s="3"/>
      <c r="G19" s="3"/>
    </row>
    <row r="20" spans="1:7" s="4" customFormat="1">
      <c r="A20" s="4243"/>
      <c r="B20" s="4247"/>
      <c r="C20" s="15">
        <v>2210</v>
      </c>
      <c r="D20" s="19"/>
      <c r="E20" s="17">
        <v>398000</v>
      </c>
      <c r="F20" s="3"/>
      <c r="G20" s="3"/>
    </row>
    <row r="21" spans="1:7" s="4" customFormat="1" ht="19.5" customHeight="1">
      <c r="A21" s="4243" t="s">
        <v>40</v>
      </c>
      <c r="B21" s="4244" t="s">
        <v>4</v>
      </c>
      <c r="C21" s="4245"/>
      <c r="D21" s="4246"/>
      <c r="E21" s="18">
        <f>SUM(E22,E24,E26)</f>
        <v>487000</v>
      </c>
      <c r="F21" s="3"/>
      <c r="G21" s="3"/>
    </row>
    <row r="22" spans="1:7" s="4" customFormat="1">
      <c r="A22" s="4243"/>
      <c r="B22" s="4247" t="s">
        <v>41</v>
      </c>
      <c r="C22" s="4248" t="s">
        <v>21</v>
      </c>
      <c r="D22" s="4248"/>
      <c r="E22" s="14">
        <f>SUM(E23)</f>
        <v>242000</v>
      </c>
      <c r="F22" s="3"/>
      <c r="G22" s="3"/>
    </row>
    <row r="23" spans="1:7" s="4" customFormat="1">
      <c r="A23" s="4243"/>
      <c r="B23" s="4247"/>
      <c r="C23" s="15">
        <v>2210</v>
      </c>
      <c r="D23" s="19"/>
      <c r="E23" s="17">
        <v>242000</v>
      </c>
      <c r="F23" s="3"/>
      <c r="G23" s="3"/>
    </row>
    <row r="24" spans="1:7" s="4" customFormat="1">
      <c r="A24" s="4243"/>
      <c r="B24" s="4247" t="s">
        <v>42</v>
      </c>
      <c r="C24" s="4248" t="s">
        <v>22</v>
      </c>
      <c r="D24" s="4248"/>
      <c r="E24" s="14">
        <f>SUM(E25)</f>
        <v>20000</v>
      </c>
      <c r="F24" s="3"/>
      <c r="G24" s="3"/>
    </row>
    <row r="25" spans="1:7" s="4" customFormat="1">
      <c r="A25" s="4243"/>
      <c r="B25" s="4247"/>
      <c r="C25" s="15">
        <v>2210</v>
      </c>
      <c r="D25" s="19"/>
      <c r="E25" s="17">
        <v>20000</v>
      </c>
      <c r="F25" s="3"/>
      <c r="G25" s="3"/>
    </row>
    <row r="26" spans="1:7" s="4" customFormat="1">
      <c r="A26" s="4243"/>
      <c r="B26" s="4247" t="s">
        <v>43</v>
      </c>
      <c r="C26" s="4248" t="s">
        <v>23</v>
      </c>
      <c r="D26" s="4248"/>
      <c r="E26" s="14">
        <f>SUM(E27)</f>
        <v>225000</v>
      </c>
      <c r="F26" s="3"/>
      <c r="G26" s="3"/>
    </row>
    <row r="27" spans="1:7" s="4" customFormat="1">
      <c r="A27" s="4243"/>
      <c r="B27" s="4247"/>
      <c r="C27" s="15">
        <v>2210</v>
      </c>
      <c r="D27" s="19"/>
      <c r="E27" s="17">
        <v>225000</v>
      </c>
      <c r="F27" s="3"/>
      <c r="G27" s="3"/>
    </row>
    <row r="28" spans="1:7" s="4" customFormat="1" ht="18.75" customHeight="1">
      <c r="A28" s="4243" t="s">
        <v>77</v>
      </c>
      <c r="B28" s="4244" t="s">
        <v>24</v>
      </c>
      <c r="C28" s="4245"/>
      <c r="D28" s="4246"/>
      <c r="E28" s="18">
        <f>SUM(E29)</f>
        <v>5000</v>
      </c>
      <c r="F28" s="3"/>
      <c r="G28" s="3"/>
    </row>
    <row r="29" spans="1:7" s="4" customFormat="1">
      <c r="A29" s="4243"/>
      <c r="B29" s="4247" t="s">
        <v>78</v>
      </c>
      <c r="C29" s="4248" t="s">
        <v>79</v>
      </c>
      <c r="D29" s="4248"/>
      <c r="E29" s="14">
        <f>SUM(E30)</f>
        <v>5000</v>
      </c>
      <c r="F29" s="3"/>
      <c r="G29" s="3"/>
    </row>
    <row r="30" spans="1:7" s="4" customFormat="1">
      <c r="A30" s="4243"/>
      <c r="B30" s="4247"/>
      <c r="C30" s="15">
        <v>2210</v>
      </c>
      <c r="D30" s="19"/>
      <c r="E30" s="17">
        <v>5000</v>
      </c>
      <c r="F30" s="3"/>
      <c r="G30" s="3"/>
    </row>
    <row r="31" spans="1:7" s="4" customFormat="1" ht="18" customHeight="1">
      <c r="A31" s="4243" t="s">
        <v>44</v>
      </c>
      <c r="B31" s="4244" t="s">
        <v>45</v>
      </c>
      <c r="C31" s="4245"/>
      <c r="D31" s="4246"/>
      <c r="E31" s="18">
        <f>SUM(E34,E38,E32,E36)</f>
        <v>19926691</v>
      </c>
      <c r="G31" s="3"/>
    </row>
    <row r="32" spans="1:7" s="4" customFormat="1">
      <c r="A32" s="4250"/>
      <c r="B32" s="4247" t="s">
        <v>80</v>
      </c>
      <c r="C32" s="4249" t="s">
        <v>25</v>
      </c>
      <c r="D32" s="4248"/>
      <c r="E32" s="14">
        <f>SUM(E33)</f>
        <v>150000</v>
      </c>
      <c r="F32" s="3"/>
      <c r="G32" s="3"/>
    </row>
    <row r="33" spans="1:8" s="4" customFormat="1">
      <c r="A33" s="4250"/>
      <c r="B33" s="4247"/>
      <c r="C33" s="15">
        <v>6510</v>
      </c>
      <c r="D33" s="19"/>
      <c r="E33" s="17">
        <v>150000</v>
      </c>
      <c r="F33" s="3"/>
      <c r="G33" s="3"/>
    </row>
    <row r="34" spans="1:8" s="4" customFormat="1" ht="36.75" customHeight="1">
      <c r="A34" s="4243"/>
      <c r="B34" s="4247" t="s">
        <v>46</v>
      </c>
      <c r="C34" s="4249" t="s">
        <v>47</v>
      </c>
      <c r="D34" s="4248"/>
      <c r="E34" s="14">
        <f>SUM(E35)</f>
        <v>10000</v>
      </c>
      <c r="F34" s="3"/>
      <c r="G34" s="3"/>
      <c r="H34" s="20"/>
    </row>
    <row r="35" spans="1:8" s="4" customFormat="1">
      <c r="A35" s="4243"/>
      <c r="B35" s="4247"/>
      <c r="C35" s="15">
        <v>2210</v>
      </c>
      <c r="D35" s="16"/>
      <c r="E35" s="17">
        <v>10000</v>
      </c>
      <c r="F35" s="3"/>
      <c r="G35" s="3"/>
    </row>
    <row r="36" spans="1:8" s="4" customFormat="1">
      <c r="A36" s="4250"/>
      <c r="B36" s="4247" t="s">
        <v>81</v>
      </c>
      <c r="C36" s="4249" t="s">
        <v>82</v>
      </c>
      <c r="D36" s="4248"/>
      <c r="E36" s="14">
        <f>SUM(E37)</f>
        <v>19736691</v>
      </c>
      <c r="F36" s="3"/>
      <c r="G36" s="3"/>
    </row>
    <row r="37" spans="1:8" s="4" customFormat="1">
      <c r="A37" s="4250"/>
      <c r="B37" s="4247"/>
      <c r="C37" s="15">
        <v>2210</v>
      </c>
      <c r="D37" s="19"/>
      <c r="E37" s="17">
        <v>19736691</v>
      </c>
      <c r="F37" s="3"/>
      <c r="G37" s="3"/>
    </row>
    <row r="38" spans="1:8" s="4" customFormat="1">
      <c r="A38" s="4243"/>
      <c r="B38" s="4247" t="s">
        <v>48</v>
      </c>
      <c r="C38" s="4249" t="s">
        <v>11</v>
      </c>
      <c r="D38" s="4248"/>
      <c r="E38" s="14">
        <f>SUM(E39)</f>
        <v>30000</v>
      </c>
      <c r="F38" s="3"/>
      <c r="G38" s="3"/>
    </row>
    <row r="39" spans="1:8" s="4" customFormat="1">
      <c r="A39" s="4243"/>
      <c r="B39" s="4247"/>
      <c r="C39" s="15">
        <v>2210</v>
      </c>
      <c r="D39" s="19"/>
      <c r="E39" s="17">
        <v>30000</v>
      </c>
      <c r="F39" s="3"/>
      <c r="G39" s="3"/>
    </row>
    <row r="40" spans="1:8" s="4" customFormat="1" ht="20.25" customHeight="1">
      <c r="A40" s="4243" t="s">
        <v>49</v>
      </c>
      <c r="B40" s="4267" t="s">
        <v>27</v>
      </c>
      <c r="C40" s="4268"/>
      <c r="D40" s="4269"/>
      <c r="E40" s="18">
        <f>SUM(E41)</f>
        <v>1000</v>
      </c>
      <c r="F40" s="3"/>
      <c r="G40" s="3"/>
    </row>
    <row r="41" spans="1:8" s="4" customFormat="1">
      <c r="A41" s="4243"/>
      <c r="B41" s="4247" t="s">
        <v>50</v>
      </c>
      <c r="C41" s="4270" t="s">
        <v>51</v>
      </c>
      <c r="D41" s="4270"/>
      <c r="E41" s="14">
        <f>SUM(E42)</f>
        <v>1000</v>
      </c>
      <c r="F41" s="3"/>
      <c r="G41" s="3"/>
    </row>
    <row r="42" spans="1:8" s="4" customFormat="1">
      <c r="A42" s="4243"/>
      <c r="B42" s="4247"/>
      <c r="C42" s="15">
        <v>2210</v>
      </c>
      <c r="D42" s="19"/>
      <c r="E42" s="17">
        <v>1000</v>
      </c>
      <c r="F42" s="3"/>
      <c r="G42" s="3"/>
    </row>
    <row r="43" spans="1:8" s="4" customFormat="1" ht="18" customHeight="1">
      <c r="A43" s="4243" t="s">
        <v>52</v>
      </c>
      <c r="B43" s="4244" t="s">
        <v>9</v>
      </c>
      <c r="C43" s="4245"/>
      <c r="D43" s="4246"/>
      <c r="E43" s="18">
        <f>SUM(E44)</f>
        <v>1596000</v>
      </c>
      <c r="F43" s="3"/>
    </row>
    <row r="44" spans="1:8" s="4" customFormat="1">
      <c r="A44" s="4243"/>
      <c r="B44" s="4247" t="s">
        <v>53</v>
      </c>
      <c r="C44" s="4248" t="s">
        <v>54</v>
      </c>
      <c r="D44" s="4248"/>
      <c r="E44" s="14">
        <f>SUM(E45)</f>
        <v>1596000</v>
      </c>
      <c r="F44" s="3"/>
      <c r="G44" s="3"/>
    </row>
    <row r="45" spans="1:8" s="4" customFormat="1" ht="13.5" thickBot="1">
      <c r="A45" s="4271"/>
      <c r="B45" s="4272"/>
      <c r="C45" s="21">
        <v>2210</v>
      </c>
      <c r="D45" s="22"/>
      <c r="E45" s="23">
        <v>1596000</v>
      </c>
      <c r="F45" s="3"/>
      <c r="G45" s="3"/>
    </row>
    <row r="46" spans="1:8" s="4" customFormat="1" ht="27" customHeight="1" thickBot="1">
      <c r="A46" s="4264" t="s">
        <v>3</v>
      </c>
      <c r="B46" s="4265"/>
      <c r="C46" s="4265"/>
      <c r="D46" s="4266"/>
      <c r="E46" s="24">
        <f>SUM(E43,E40,E31,E21,E18,E10,E7,E15,E28)</f>
        <v>78206691</v>
      </c>
      <c r="F46" s="3"/>
    </row>
    <row r="47" spans="1:8" s="4" customFormat="1">
      <c r="A47" s="25"/>
      <c r="B47" s="25"/>
      <c r="C47" s="8"/>
      <c r="D47" s="8"/>
      <c r="E47" s="26"/>
      <c r="F47" s="3"/>
      <c r="G47" s="3"/>
    </row>
    <row r="48" spans="1:8" s="4" customFormat="1">
      <c r="A48" s="25"/>
      <c r="B48" s="25"/>
      <c r="C48" s="8"/>
      <c r="D48" s="8"/>
      <c r="E48" s="26"/>
      <c r="F48" s="3"/>
      <c r="G48" s="3"/>
    </row>
    <row r="49" spans="1:7" s="4" customFormat="1">
      <c r="A49" s="25"/>
      <c r="B49" s="25"/>
      <c r="C49" s="8"/>
      <c r="D49" s="8"/>
      <c r="E49" s="26"/>
      <c r="F49" s="3"/>
      <c r="G49" s="3"/>
    </row>
    <row r="50" spans="1:7" s="4" customFormat="1" ht="12.75" customHeight="1">
      <c r="A50" s="25"/>
      <c r="B50" s="25"/>
      <c r="C50" s="8"/>
      <c r="D50" s="8"/>
      <c r="E50" s="26"/>
      <c r="F50" s="3"/>
      <c r="G50" s="3"/>
    </row>
    <row r="51" spans="1:7" s="4" customFormat="1">
      <c r="A51" s="25"/>
      <c r="B51" s="25"/>
      <c r="C51" s="8"/>
      <c r="D51" s="8"/>
      <c r="E51" s="26"/>
      <c r="F51" s="3"/>
      <c r="G51" s="3"/>
    </row>
    <row r="52" spans="1:7" s="4" customFormat="1">
      <c r="A52" s="25"/>
      <c r="B52" s="25"/>
      <c r="C52" s="8"/>
      <c r="D52" s="8"/>
      <c r="E52" s="26"/>
      <c r="F52" s="3"/>
      <c r="G52" s="3"/>
    </row>
    <row r="53" spans="1:7" s="4" customFormat="1">
      <c r="A53" s="25"/>
      <c r="B53" s="25"/>
      <c r="C53" s="8"/>
      <c r="D53" s="8"/>
      <c r="E53" s="26"/>
      <c r="F53" s="3"/>
      <c r="G53" s="3"/>
    </row>
    <row r="54" spans="1:7" s="4" customFormat="1">
      <c r="A54" s="25"/>
      <c r="B54" s="25"/>
      <c r="C54" s="8"/>
      <c r="D54" s="8"/>
      <c r="E54" s="26"/>
      <c r="F54" s="3"/>
      <c r="G54" s="3"/>
    </row>
    <row r="55" spans="1:7" s="4" customFormat="1">
      <c r="A55" s="25"/>
      <c r="B55" s="25"/>
      <c r="C55" s="8"/>
      <c r="D55" s="8"/>
      <c r="E55" s="26"/>
      <c r="F55" s="3"/>
      <c r="G55" s="3"/>
    </row>
    <row r="56" spans="1:7" s="4" customFormat="1">
      <c r="A56" s="25"/>
      <c r="B56" s="25"/>
      <c r="C56" s="8"/>
      <c r="D56" s="8"/>
      <c r="E56" s="26"/>
      <c r="F56" s="3"/>
      <c r="G56" s="3"/>
    </row>
    <row r="57" spans="1:7" s="4" customFormat="1">
      <c r="A57" s="25"/>
      <c r="B57" s="25"/>
      <c r="C57" s="8"/>
      <c r="D57" s="8"/>
      <c r="E57" s="26"/>
      <c r="F57" s="3"/>
      <c r="G57" s="3"/>
    </row>
    <row r="58" spans="1:7" s="4" customFormat="1">
      <c r="A58" s="8"/>
      <c r="B58" s="25"/>
      <c r="C58" s="8"/>
      <c r="D58" s="8"/>
      <c r="E58" s="26"/>
      <c r="F58" s="3"/>
      <c r="G58" s="3"/>
    </row>
    <row r="59" spans="1:7" s="4" customFormat="1">
      <c r="A59" s="8"/>
      <c r="B59" s="25"/>
      <c r="C59" s="8"/>
      <c r="D59" s="8"/>
      <c r="E59" s="26"/>
      <c r="F59" s="3"/>
      <c r="G59" s="3"/>
    </row>
    <row r="60" spans="1:7" s="4" customFormat="1">
      <c r="A60" s="8"/>
      <c r="B60" s="25"/>
      <c r="C60" s="8"/>
      <c r="D60" s="8"/>
      <c r="E60" s="26"/>
      <c r="F60" s="3"/>
      <c r="G60" s="3"/>
    </row>
    <row r="61" spans="1:7" s="4" customFormat="1">
      <c r="A61" s="8"/>
      <c r="B61" s="25"/>
      <c r="C61" s="8"/>
      <c r="D61" s="8"/>
      <c r="E61" s="26"/>
      <c r="F61" s="3"/>
      <c r="G61" s="3"/>
    </row>
    <row r="62" spans="1:7" s="4" customFormat="1">
      <c r="A62" s="8"/>
      <c r="B62" s="25"/>
      <c r="C62" s="8"/>
      <c r="D62" s="8"/>
      <c r="E62" s="26"/>
      <c r="F62" s="3"/>
      <c r="G62" s="3"/>
    </row>
    <row r="63" spans="1:7" s="4" customFormat="1">
      <c r="A63" s="8"/>
      <c r="B63" s="25"/>
      <c r="C63" s="8"/>
      <c r="D63" s="8"/>
      <c r="E63" s="26"/>
      <c r="F63" s="3"/>
      <c r="G63" s="3"/>
    </row>
    <row r="64" spans="1:7" s="4" customFormat="1">
      <c r="A64" s="8"/>
      <c r="B64" s="25"/>
      <c r="C64" s="8"/>
      <c r="D64" s="8"/>
      <c r="E64" s="26"/>
      <c r="F64" s="3"/>
      <c r="G64" s="3"/>
    </row>
    <row r="65" spans="1:7" s="4" customFormat="1">
      <c r="A65" s="8"/>
      <c r="B65" s="25"/>
      <c r="C65" s="8"/>
      <c r="D65" s="8"/>
      <c r="E65" s="26"/>
      <c r="F65" s="3"/>
      <c r="G65" s="3"/>
    </row>
    <row r="66" spans="1:7" s="4" customFormat="1">
      <c r="A66" s="8"/>
      <c r="B66" s="25"/>
      <c r="C66" s="8"/>
      <c r="D66" s="8"/>
      <c r="E66" s="26"/>
      <c r="F66" s="3"/>
      <c r="G66" s="3"/>
    </row>
    <row r="67" spans="1:7" s="4" customFormat="1">
      <c r="A67" s="8"/>
      <c r="B67" s="25"/>
      <c r="C67" s="8"/>
      <c r="D67" s="8"/>
      <c r="E67" s="26"/>
      <c r="F67" s="3"/>
      <c r="G67" s="3"/>
    </row>
    <row r="68" spans="1:7" s="4" customFormat="1">
      <c r="A68" s="8"/>
      <c r="B68" s="25"/>
      <c r="C68" s="8"/>
      <c r="D68" s="8"/>
      <c r="E68" s="26"/>
      <c r="F68" s="3"/>
      <c r="G68" s="3"/>
    </row>
    <row r="69" spans="1:7" s="4" customFormat="1">
      <c r="A69" s="8"/>
      <c r="B69" s="25"/>
      <c r="C69" s="8"/>
      <c r="D69" s="8"/>
      <c r="E69" s="26"/>
      <c r="F69" s="3"/>
      <c r="G69" s="3"/>
    </row>
    <row r="70" spans="1:7" s="4" customFormat="1">
      <c r="A70" s="8"/>
      <c r="B70" s="25"/>
      <c r="C70" s="8"/>
      <c r="D70" s="8"/>
      <c r="E70" s="26"/>
      <c r="F70" s="3"/>
      <c r="G70" s="3"/>
    </row>
    <row r="71" spans="1:7" s="4" customFormat="1">
      <c r="A71" s="8"/>
      <c r="B71" s="25"/>
      <c r="C71" s="8"/>
      <c r="D71" s="8"/>
      <c r="E71" s="26"/>
      <c r="F71" s="3"/>
      <c r="G71" s="3"/>
    </row>
    <row r="72" spans="1:7" s="4" customFormat="1">
      <c r="A72" s="3"/>
      <c r="B72" s="25"/>
      <c r="C72" s="8"/>
      <c r="D72" s="8"/>
      <c r="E72" s="26"/>
      <c r="F72" s="3"/>
      <c r="G72" s="3"/>
    </row>
    <row r="73" spans="1:7" s="4" customFormat="1">
      <c r="A73" s="3"/>
      <c r="B73" s="25"/>
      <c r="C73" s="8"/>
      <c r="D73" s="8"/>
      <c r="E73" s="26"/>
      <c r="F73" s="3"/>
      <c r="G73" s="3"/>
    </row>
    <row r="74" spans="1:7" s="4" customFormat="1">
      <c r="A74" s="3"/>
      <c r="B74" s="27"/>
      <c r="C74" s="3"/>
      <c r="D74" s="3"/>
      <c r="E74" s="28"/>
      <c r="F74" s="3"/>
      <c r="G74" s="3"/>
    </row>
    <row r="75" spans="1:7" s="4" customFormat="1">
      <c r="A75" s="3"/>
      <c r="B75" s="27"/>
      <c r="C75" s="3"/>
      <c r="D75" s="3"/>
      <c r="E75" s="28"/>
      <c r="F75" s="3"/>
      <c r="G75" s="3"/>
    </row>
    <row r="76" spans="1:7" s="4" customFormat="1">
      <c r="A76" s="3"/>
      <c r="B76" s="27"/>
      <c r="C76" s="3"/>
      <c r="D76" s="3"/>
      <c r="E76" s="28"/>
      <c r="F76" s="3"/>
      <c r="G76" s="3"/>
    </row>
    <row r="77" spans="1:7" s="4" customFormat="1">
      <c r="A77" s="3"/>
      <c r="B77" s="27"/>
      <c r="C77" s="3"/>
      <c r="D77" s="3"/>
      <c r="E77" s="28"/>
      <c r="F77" s="3"/>
      <c r="G77" s="3"/>
    </row>
    <row r="78" spans="1:7">
      <c r="B78" s="27"/>
      <c r="E78" s="28"/>
    </row>
    <row r="79" spans="1:7">
      <c r="B79" s="27"/>
      <c r="E79" s="28"/>
    </row>
    <row r="80" spans="1:7">
      <c r="B80" s="27"/>
      <c r="E80" s="28"/>
    </row>
    <row r="81" spans="2:5">
      <c r="B81" s="27"/>
      <c r="E81" s="28"/>
    </row>
    <row r="82" spans="2:5">
      <c r="B82" s="27"/>
      <c r="E82" s="28"/>
    </row>
    <row r="83" spans="2:5">
      <c r="B83" s="27"/>
      <c r="E83" s="28"/>
    </row>
    <row r="84" spans="2:5">
      <c r="B84" s="27"/>
      <c r="E84" s="28"/>
    </row>
    <row r="85" spans="2:5">
      <c r="B85" s="27"/>
      <c r="E85" s="28"/>
    </row>
    <row r="86" spans="2:5">
      <c r="B86" s="27"/>
      <c r="E86" s="28"/>
    </row>
    <row r="87" spans="2:5">
      <c r="B87" s="27"/>
      <c r="E87" s="28"/>
    </row>
    <row r="88" spans="2:5">
      <c r="B88" s="27"/>
      <c r="E88" s="28"/>
    </row>
    <row r="89" spans="2:5">
      <c r="B89" s="27"/>
      <c r="E89" s="28"/>
    </row>
    <row r="90" spans="2:5">
      <c r="E90" s="28"/>
    </row>
    <row r="91" spans="2:5">
      <c r="E91" s="28"/>
    </row>
    <row r="142" spans="3:3">
      <c r="C142" s="3" t="s">
        <v>20</v>
      </c>
    </row>
    <row r="162" spans="4:4">
      <c r="D162" s="29">
        <f>115000000+12000000</f>
        <v>127000000</v>
      </c>
    </row>
    <row r="270" spans="4:4">
      <c r="D270" s="29"/>
    </row>
    <row r="541" spans="17:17">
      <c r="Q541" s="3">
        <f>P541-O541</f>
        <v>0</v>
      </c>
    </row>
  </sheetData>
  <mergeCells count="53">
    <mergeCell ref="A46:D46"/>
    <mergeCell ref="A40:A42"/>
    <mergeCell ref="B40:D40"/>
    <mergeCell ref="B41:B42"/>
    <mergeCell ref="C41:D41"/>
    <mergeCell ref="A43:A45"/>
    <mergeCell ref="B43:D43"/>
    <mergeCell ref="B44:B45"/>
    <mergeCell ref="C44:D44"/>
    <mergeCell ref="A21:A27"/>
    <mergeCell ref="B21:D21"/>
    <mergeCell ref="B22:B23"/>
    <mergeCell ref="C22:D22"/>
    <mergeCell ref="B24:B25"/>
    <mergeCell ref="C24:D24"/>
    <mergeCell ref="B26:B27"/>
    <mergeCell ref="C26:D26"/>
    <mergeCell ref="A15:A17"/>
    <mergeCell ref="B15:D15"/>
    <mergeCell ref="B16:B17"/>
    <mergeCell ref="C16:D16"/>
    <mergeCell ref="A18:A20"/>
    <mergeCell ref="B18:D18"/>
    <mergeCell ref="B19:B20"/>
    <mergeCell ref="C19:D19"/>
    <mergeCell ref="A10:A14"/>
    <mergeCell ref="B10:D10"/>
    <mergeCell ref="B11:B12"/>
    <mergeCell ref="C11:D11"/>
    <mergeCell ref="B13:B14"/>
    <mergeCell ref="C13:D13"/>
    <mergeCell ref="D1:E1"/>
    <mergeCell ref="A2:E2"/>
    <mergeCell ref="A4:E4"/>
    <mergeCell ref="A5:E5"/>
    <mergeCell ref="A7:A9"/>
    <mergeCell ref="B7:D7"/>
    <mergeCell ref="B8:B9"/>
    <mergeCell ref="C8:D8"/>
    <mergeCell ref="A28:A30"/>
    <mergeCell ref="B28:D28"/>
    <mergeCell ref="B29:B30"/>
    <mergeCell ref="C29:D29"/>
    <mergeCell ref="B32:B33"/>
    <mergeCell ref="C32:D32"/>
    <mergeCell ref="A31:A39"/>
    <mergeCell ref="B31:D31"/>
    <mergeCell ref="B34:B35"/>
    <mergeCell ref="C34:D34"/>
    <mergeCell ref="B38:B39"/>
    <mergeCell ref="C38:D38"/>
    <mergeCell ref="B36:B37"/>
    <mergeCell ref="C36:D36"/>
  </mergeCells>
  <printOptions horizontalCentered="1"/>
  <pageMargins left="0.51181102362204722" right="0.51181102362204722" top="0.15748031496062992" bottom="0.15748031496062992" header="0.31496062992125984" footer="0.31496062992125984"/>
  <pageSetup paperSize="9" scale="101" orientation="portrait" r:id="rId1"/>
  <headerFooter>
    <oddFooter>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Q542"/>
  <sheetViews>
    <sheetView view="pageBreakPreview" zoomScale="110" zoomScaleNormal="75" zoomScaleSheetLayoutView="110" workbookViewId="0">
      <pane ySplit="5" topLeftCell="A6" activePane="bottomLeft" state="frozen"/>
      <selection activeCell="R16" sqref="R16"/>
      <selection pane="bottomLeft" activeCell="R16" sqref="R16"/>
    </sheetView>
  </sheetViews>
  <sheetFormatPr defaultRowHeight="15.75"/>
  <cols>
    <col min="1" max="1" width="5.5703125" style="70" bestFit="1" customWidth="1"/>
    <col min="2" max="2" width="8.85546875" style="68" bestFit="1" customWidth="1"/>
    <col min="3" max="3" width="25.85546875" style="8" customWidth="1"/>
    <col min="4" max="4" width="8.85546875" style="8" bestFit="1" customWidth="1"/>
    <col min="5" max="5" width="10.7109375" style="8" customWidth="1"/>
    <col min="6" max="6" width="11.140625" style="8" customWidth="1"/>
    <col min="7" max="7" width="13.140625" style="8" customWidth="1"/>
    <col min="8" max="8" width="11.28515625" style="8" customWidth="1"/>
    <col min="9" max="9" width="12.28515625" style="8" customWidth="1"/>
    <col min="10" max="10" width="11.7109375" style="8" customWidth="1"/>
    <col min="11" max="11" width="12" style="8" customWidth="1"/>
    <col min="12" max="12" width="10.42578125" style="8" customWidth="1"/>
    <col min="13" max="13" width="9.7109375" style="8" customWidth="1"/>
    <col min="14" max="16384" width="9.140625" style="8"/>
  </cols>
  <sheetData>
    <row r="1" spans="1:13" ht="37.5" customHeight="1">
      <c r="A1" s="4282" t="s">
        <v>55</v>
      </c>
      <c r="B1" s="4282"/>
      <c r="C1" s="4282"/>
      <c r="D1" s="4282"/>
      <c r="E1" s="4282"/>
      <c r="F1" s="4282"/>
      <c r="G1" s="4282"/>
      <c r="H1" s="4282"/>
      <c r="I1" s="4282"/>
      <c r="J1" s="4282"/>
      <c r="K1" s="4282"/>
      <c r="L1" s="4282"/>
    </row>
    <row r="2" spans="1:13" ht="13.5" thickBot="1">
      <c r="A2" s="4256" t="s">
        <v>56</v>
      </c>
      <c r="B2" s="4256"/>
      <c r="C2" s="4256"/>
      <c r="D2" s="4256"/>
      <c r="E2" s="4256"/>
      <c r="F2" s="4256"/>
      <c r="G2" s="4256"/>
      <c r="H2" s="4256"/>
      <c r="I2" s="4256"/>
      <c r="J2" s="4256"/>
      <c r="K2" s="4256"/>
      <c r="L2" s="4256"/>
    </row>
    <row r="3" spans="1:13" ht="12.75">
      <c r="A3" s="4202" t="s">
        <v>0</v>
      </c>
      <c r="B3" s="4204" t="s">
        <v>30</v>
      </c>
      <c r="C3" s="4204" t="s">
        <v>31</v>
      </c>
      <c r="D3" s="4287" t="s">
        <v>2</v>
      </c>
      <c r="E3" s="4206" t="s">
        <v>57</v>
      </c>
      <c r="F3" s="4206" t="s">
        <v>58</v>
      </c>
      <c r="G3" s="4292" t="s">
        <v>59</v>
      </c>
      <c r="H3" s="4293"/>
      <c r="I3" s="4293"/>
      <c r="J3" s="4293"/>
      <c r="K3" s="4294"/>
      <c r="L3" s="4208" t="s">
        <v>60</v>
      </c>
    </row>
    <row r="4" spans="1:13" ht="12.75" customHeight="1">
      <c r="A4" s="4283"/>
      <c r="B4" s="4285"/>
      <c r="C4" s="4285"/>
      <c r="D4" s="4288"/>
      <c r="E4" s="4290"/>
      <c r="F4" s="4290"/>
      <c r="G4" s="4297" t="s">
        <v>61</v>
      </c>
      <c r="H4" s="4298" t="s">
        <v>1</v>
      </c>
      <c r="I4" s="4285"/>
      <c r="J4" s="4290" t="s">
        <v>62</v>
      </c>
      <c r="K4" s="4299" t="s">
        <v>63</v>
      </c>
      <c r="L4" s="4295"/>
    </row>
    <row r="5" spans="1:13" ht="77.25" customHeight="1" thickBot="1">
      <c r="A5" s="4284"/>
      <c r="B5" s="4286"/>
      <c r="C5" s="4286"/>
      <c r="D5" s="4289"/>
      <c r="E5" s="4291"/>
      <c r="F5" s="4291"/>
      <c r="G5" s="4291"/>
      <c r="H5" s="30" t="s">
        <v>64</v>
      </c>
      <c r="I5" s="30" t="s">
        <v>65</v>
      </c>
      <c r="J5" s="4291"/>
      <c r="K5" s="4300"/>
      <c r="L5" s="4296"/>
    </row>
    <row r="6" spans="1:13" ht="30" customHeight="1">
      <c r="A6" s="4309" t="s">
        <v>6</v>
      </c>
      <c r="B6" s="4301" t="s">
        <v>10</v>
      </c>
      <c r="C6" s="4301"/>
      <c r="D6" s="31"/>
      <c r="E6" s="32">
        <f>SUM(E7)</f>
        <v>3585000</v>
      </c>
      <c r="F6" s="32">
        <f>SUM(F7)</f>
        <v>3585000</v>
      </c>
      <c r="G6" s="32">
        <f>SUM(H6:I6)</f>
        <v>3585000</v>
      </c>
      <c r="H6" s="32">
        <f>SUM(H7)</f>
        <v>318000</v>
      </c>
      <c r="I6" s="32">
        <f>SUM(I7)</f>
        <v>3267000</v>
      </c>
      <c r="J6" s="32"/>
      <c r="K6" s="32"/>
      <c r="L6" s="33"/>
      <c r="M6" s="9"/>
    </row>
    <row r="7" spans="1:13" ht="27.75" customHeight="1">
      <c r="A7" s="4258"/>
      <c r="B7" s="4276" t="s">
        <v>7</v>
      </c>
      <c r="C7" s="4279" t="s">
        <v>11</v>
      </c>
      <c r="D7" s="34" t="s">
        <v>66</v>
      </c>
      <c r="E7" s="35">
        <f>SUM(F7,L7)</f>
        <v>3585000</v>
      </c>
      <c r="F7" s="35">
        <f>SUM(G7,J7,K7)</f>
        <v>3585000</v>
      </c>
      <c r="G7" s="35">
        <f>SUM(H7:I7)</f>
        <v>3585000</v>
      </c>
      <c r="H7" s="35">
        <f>SUM(H8:H10)</f>
        <v>318000</v>
      </c>
      <c r="I7" s="35">
        <f>SUM(I8:I11)</f>
        <v>3267000</v>
      </c>
      <c r="J7" s="35"/>
      <c r="K7" s="35"/>
      <c r="L7" s="36"/>
    </row>
    <row r="8" spans="1:13" ht="12.75">
      <c r="A8" s="4258"/>
      <c r="B8" s="4277"/>
      <c r="C8" s="4280"/>
      <c r="D8" s="37">
        <v>4010</v>
      </c>
      <c r="E8" s="38">
        <f>SUM(F8,L8)</f>
        <v>267441</v>
      </c>
      <c r="F8" s="38">
        <f>SUM(G8,J8,K8)</f>
        <v>267441</v>
      </c>
      <c r="G8" s="38">
        <f>H8+I8</f>
        <v>267441</v>
      </c>
      <c r="H8" s="38">
        <v>267441</v>
      </c>
      <c r="I8" s="38"/>
      <c r="J8" s="38"/>
      <c r="K8" s="38"/>
      <c r="L8" s="39"/>
    </row>
    <row r="9" spans="1:13" ht="12.75">
      <c r="A9" s="4258"/>
      <c r="B9" s="4277"/>
      <c r="C9" s="4280"/>
      <c r="D9" s="37">
        <v>4110</v>
      </c>
      <c r="E9" s="38">
        <f>SUM(F9,L9)</f>
        <v>44253</v>
      </c>
      <c r="F9" s="38">
        <f t="shared" ref="F9:F11" si="0">SUM(G9,J9,K9)</f>
        <v>44253</v>
      </c>
      <c r="G9" s="38">
        <f t="shared" ref="G9:G11" si="1">H9+I9</f>
        <v>44253</v>
      </c>
      <c r="H9" s="38">
        <v>44253</v>
      </c>
      <c r="I9" s="38"/>
      <c r="J9" s="38"/>
      <c r="K9" s="38"/>
      <c r="L9" s="39"/>
    </row>
    <row r="10" spans="1:13" ht="12.75">
      <c r="A10" s="4258"/>
      <c r="B10" s="4277"/>
      <c r="C10" s="4280"/>
      <c r="D10" s="37">
        <v>4120</v>
      </c>
      <c r="E10" s="38">
        <f t="shared" ref="E10:E11" si="2">SUM(F10,L10)</f>
        <v>6306</v>
      </c>
      <c r="F10" s="38">
        <f t="shared" si="0"/>
        <v>6306</v>
      </c>
      <c r="G10" s="38">
        <f t="shared" si="1"/>
        <v>6306</v>
      </c>
      <c r="H10" s="38">
        <v>6306</v>
      </c>
      <c r="I10" s="38"/>
      <c r="J10" s="38"/>
      <c r="K10" s="38"/>
      <c r="L10" s="39"/>
    </row>
    <row r="11" spans="1:13" s="103" customFormat="1" ht="12.75">
      <c r="A11" s="4275"/>
      <c r="B11" s="4278"/>
      <c r="C11" s="4281"/>
      <c r="D11" s="104">
        <v>4590</v>
      </c>
      <c r="E11" s="38">
        <f t="shared" si="2"/>
        <v>3267000</v>
      </c>
      <c r="F11" s="38">
        <f t="shared" si="0"/>
        <v>3267000</v>
      </c>
      <c r="G11" s="38">
        <f t="shared" si="1"/>
        <v>3267000</v>
      </c>
      <c r="H11" s="105"/>
      <c r="I11" s="105">
        <v>3267000</v>
      </c>
      <c r="J11" s="105"/>
      <c r="K11" s="105"/>
      <c r="L11" s="106"/>
    </row>
    <row r="12" spans="1:13" ht="30.75" customHeight="1">
      <c r="A12" s="4263" t="s">
        <v>33</v>
      </c>
      <c r="B12" s="4302" t="s">
        <v>8</v>
      </c>
      <c r="C12" s="4302"/>
      <c r="D12" s="40"/>
      <c r="E12" s="41">
        <f>F12+L12</f>
        <v>52158000</v>
      </c>
      <c r="F12" s="41">
        <f>G12+J12+K12</f>
        <v>52158000</v>
      </c>
      <c r="G12" s="41">
        <f>H12+I12</f>
        <v>285000</v>
      </c>
      <c r="H12" s="41">
        <f>H13+H18</f>
        <v>120000</v>
      </c>
      <c r="I12" s="41">
        <f>I13+I18</f>
        <v>165000</v>
      </c>
      <c r="J12" s="41">
        <f>SUM(J13)</f>
        <v>51873000</v>
      </c>
      <c r="K12" s="41"/>
      <c r="L12" s="42"/>
    </row>
    <row r="13" spans="1:13" ht="27.75" customHeight="1">
      <c r="A13" s="4258"/>
      <c r="B13" s="4303" t="s">
        <v>34</v>
      </c>
      <c r="C13" s="4306" t="s">
        <v>15</v>
      </c>
      <c r="D13" s="34" t="s">
        <v>66</v>
      </c>
      <c r="E13" s="35">
        <f>SUM(F13,L13)</f>
        <v>51873000</v>
      </c>
      <c r="F13" s="35">
        <f>SUM(G13,J13,K13)</f>
        <v>51873000</v>
      </c>
      <c r="G13" s="35"/>
      <c r="H13" s="35"/>
      <c r="I13" s="35"/>
      <c r="J13" s="35">
        <f>SUM(J14:J17)</f>
        <v>51873000</v>
      </c>
      <c r="K13" s="43"/>
      <c r="L13" s="44"/>
    </row>
    <row r="14" spans="1:13" ht="12.75">
      <c r="A14" s="4258"/>
      <c r="B14" s="4304"/>
      <c r="C14" s="4307"/>
      <c r="D14" s="37">
        <v>2310</v>
      </c>
      <c r="E14" s="38">
        <f>F14+L14</f>
        <v>1600000</v>
      </c>
      <c r="F14" s="38">
        <f t="shared" ref="F14:F17" si="3">SUM(G14,J14,K14)</f>
        <v>1600000</v>
      </c>
      <c r="G14" s="38"/>
      <c r="H14" s="38"/>
      <c r="I14" s="38"/>
      <c r="J14" s="38">
        <v>1600000</v>
      </c>
      <c r="K14" s="38"/>
      <c r="L14" s="39"/>
      <c r="M14" s="9"/>
    </row>
    <row r="15" spans="1:13" ht="12.75">
      <c r="A15" s="4258"/>
      <c r="B15" s="4304"/>
      <c r="C15" s="4307"/>
      <c r="D15" s="37">
        <v>2320</v>
      </c>
      <c r="E15" s="38">
        <f t="shared" ref="E15:E17" si="4">F15+L15</f>
        <v>4050000</v>
      </c>
      <c r="F15" s="38">
        <f t="shared" si="3"/>
        <v>4050000</v>
      </c>
      <c r="G15" s="38"/>
      <c r="H15" s="38"/>
      <c r="I15" s="38"/>
      <c r="J15" s="38">
        <v>4050000</v>
      </c>
      <c r="K15" s="38"/>
      <c r="L15" s="39"/>
      <c r="M15" s="9"/>
    </row>
    <row r="16" spans="1:13" ht="12.75">
      <c r="A16" s="4258"/>
      <c r="B16" s="4304"/>
      <c r="C16" s="4307"/>
      <c r="D16" s="37">
        <v>2630</v>
      </c>
      <c r="E16" s="38">
        <f t="shared" si="4"/>
        <v>43873000</v>
      </c>
      <c r="F16" s="38">
        <f t="shared" si="3"/>
        <v>43873000</v>
      </c>
      <c r="G16" s="38"/>
      <c r="H16" s="38"/>
      <c r="I16" s="38"/>
      <c r="J16" s="38">
        <v>43873000</v>
      </c>
      <c r="K16" s="38"/>
      <c r="L16" s="39"/>
      <c r="M16" s="9"/>
    </row>
    <row r="17" spans="1:13" ht="12.75">
      <c r="A17" s="4258"/>
      <c r="B17" s="4305"/>
      <c r="C17" s="4308"/>
      <c r="D17" s="37">
        <v>2800</v>
      </c>
      <c r="E17" s="38">
        <f t="shared" si="4"/>
        <v>2350000</v>
      </c>
      <c r="F17" s="38">
        <f t="shared" si="3"/>
        <v>2350000</v>
      </c>
      <c r="G17" s="38"/>
      <c r="H17" s="38"/>
      <c r="I17" s="38"/>
      <c r="J17" s="38">
        <v>2350000</v>
      </c>
      <c r="K17" s="38"/>
      <c r="L17" s="39"/>
      <c r="M17" s="9"/>
    </row>
    <row r="18" spans="1:13" ht="27.75" customHeight="1">
      <c r="A18" s="4258"/>
      <c r="B18" s="4303" t="s">
        <v>35</v>
      </c>
      <c r="C18" s="4306" t="s">
        <v>11</v>
      </c>
      <c r="D18" s="34" t="s">
        <v>66</v>
      </c>
      <c r="E18" s="35">
        <f>SUM(F18,L18)</f>
        <v>285000</v>
      </c>
      <c r="F18" s="35">
        <f>SUM(G18,J18,K18)</f>
        <v>285000</v>
      </c>
      <c r="G18" s="35">
        <f>SUM(H18:I18)</f>
        <v>285000</v>
      </c>
      <c r="H18" s="35">
        <f>SUM(H19:H22)</f>
        <v>120000</v>
      </c>
      <c r="I18" s="35">
        <f>SUM(I19:I22)</f>
        <v>165000</v>
      </c>
      <c r="J18" s="43"/>
      <c r="K18" s="43"/>
      <c r="L18" s="44"/>
    </row>
    <row r="19" spans="1:13" ht="12.75">
      <c r="A19" s="4258"/>
      <c r="B19" s="4304"/>
      <c r="C19" s="4307"/>
      <c r="D19" s="37">
        <v>4010</v>
      </c>
      <c r="E19" s="38">
        <f>F19+L19</f>
        <v>100302</v>
      </c>
      <c r="F19" s="38">
        <f t="shared" ref="F19:F33" si="5">SUM(G19,J19,K19)</f>
        <v>100302</v>
      </c>
      <c r="G19" s="38">
        <f>SUM(H19:I19)</f>
        <v>100302</v>
      </c>
      <c r="H19" s="38">
        <v>100302</v>
      </c>
      <c r="I19" s="38"/>
      <c r="J19" s="38"/>
      <c r="K19" s="38"/>
      <c r="L19" s="39"/>
      <c r="M19" s="9"/>
    </row>
    <row r="20" spans="1:13" ht="12.75">
      <c r="A20" s="4258"/>
      <c r="B20" s="4304"/>
      <c r="C20" s="4307"/>
      <c r="D20" s="37">
        <v>4110</v>
      </c>
      <c r="E20" s="38">
        <f t="shared" ref="E20:E22" si="6">F20+L20</f>
        <v>17240</v>
      </c>
      <c r="F20" s="38">
        <f t="shared" si="5"/>
        <v>17240</v>
      </c>
      <c r="G20" s="38">
        <f t="shared" ref="G20:G22" si="7">SUM(H20:I20)</f>
        <v>17240</v>
      </c>
      <c r="H20" s="38">
        <v>17240</v>
      </c>
      <c r="I20" s="38"/>
      <c r="J20" s="38"/>
      <c r="K20" s="38"/>
      <c r="L20" s="39"/>
      <c r="M20" s="9"/>
    </row>
    <row r="21" spans="1:13" ht="12.75">
      <c r="A21" s="4258"/>
      <c r="B21" s="4304"/>
      <c r="C21" s="4307"/>
      <c r="D21" s="37">
        <v>4120</v>
      </c>
      <c r="E21" s="38">
        <f t="shared" si="6"/>
        <v>2458</v>
      </c>
      <c r="F21" s="38">
        <f t="shared" si="5"/>
        <v>2458</v>
      </c>
      <c r="G21" s="38">
        <f t="shared" si="7"/>
        <v>2458</v>
      </c>
      <c r="H21" s="38">
        <v>2458</v>
      </c>
      <c r="I21" s="38"/>
      <c r="J21" s="38"/>
      <c r="K21" s="38"/>
      <c r="L21" s="39"/>
      <c r="M21" s="9"/>
    </row>
    <row r="22" spans="1:13" ht="12.75">
      <c r="A22" s="4259"/>
      <c r="B22" s="4305"/>
      <c r="C22" s="4308"/>
      <c r="D22" s="37">
        <v>4300</v>
      </c>
      <c r="E22" s="38">
        <f t="shared" si="6"/>
        <v>165000</v>
      </c>
      <c r="F22" s="38">
        <f t="shared" si="5"/>
        <v>165000</v>
      </c>
      <c r="G22" s="38">
        <f t="shared" si="7"/>
        <v>165000</v>
      </c>
      <c r="H22" s="38"/>
      <c r="I22" s="38">
        <v>165000</v>
      </c>
      <c r="J22" s="38"/>
      <c r="K22" s="38"/>
      <c r="L22" s="39"/>
      <c r="M22" s="9"/>
    </row>
    <row r="23" spans="1:13" ht="29.25" customHeight="1">
      <c r="A23" s="4263" t="s">
        <v>36</v>
      </c>
      <c r="B23" s="4310" t="s">
        <v>16</v>
      </c>
      <c r="C23" s="4310"/>
      <c r="D23" s="45"/>
      <c r="E23" s="41">
        <f>F23+L23</f>
        <v>50000</v>
      </c>
      <c r="F23" s="41">
        <f>SUM(G23,J23,K23)</f>
        <v>50000</v>
      </c>
      <c r="G23" s="41">
        <f>SUM(H23:I23)</f>
        <v>50000</v>
      </c>
      <c r="H23" s="41">
        <f>SUM(H24)</f>
        <v>50000</v>
      </c>
      <c r="I23" s="41"/>
      <c r="J23" s="41"/>
      <c r="K23" s="41"/>
      <c r="L23" s="42"/>
    </row>
    <row r="24" spans="1:13" ht="27" customHeight="1">
      <c r="A24" s="4258"/>
      <c r="B24" s="4303" t="s">
        <v>37</v>
      </c>
      <c r="C24" s="4306" t="s">
        <v>11</v>
      </c>
      <c r="D24" s="34" t="s">
        <v>66</v>
      </c>
      <c r="E24" s="35">
        <f>F24+L24</f>
        <v>50000</v>
      </c>
      <c r="F24" s="35">
        <f t="shared" ref="F24:F27" si="8">SUM(G24,J24,K24)</f>
        <v>50000</v>
      </c>
      <c r="G24" s="35">
        <f>SUM(H24:I24)</f>
        <v>50000</v>
      </c>
      <c r="H24" s="35">
        <f>SUM(H25:H27)</f>
        <v>50000</v>
      </c>
      <c r="I24" s="35"/>
      <c r="J24" s="35"/>
      <c r="K24" s="35"/>
      <c r="L24" s="36"/>
    </row>
    <row r="25" spans="1:13" ht="12.75">
      <c r="A25" s="4258"/>
      <c r="B25" s="4304"/>
      <c r="C25" s="4307"/>
      <c r="D25" s="37">
        <v>4010</v>
      </c>
      <c r="E25" s="38">
        <f t="shared" ref="E25:E27" si="9">SUM(F25,L25)</f>
        <v>41794</v>
      </c>
      <c r="F25" s="38">
        <f t="shared" si="8"/>
        <v>41794</v>
      </c>
      <c r="G25" s="38">
        <f>SUM(H25:I25)</f>
        <v>41794</v>
      </c>
      <c r="H25" s="38">
        <v>41794</v>
      </c>
      <c r="I25" s="38"/>
      <c r="J25" s="38"/>
      <c r="K25" s="38"/>
      <c r="L25" s="39"/>
      <c r="M25" s="9"/>
    </row>
    <row r="26" spans="1:13" ht="12.75">
      <c r="A26" s="4258"/>
      <c r="B26" s="4304"/>
      <c r="C26" s="4307"/>
      <c r="D26" s="37">
        <v>4110</v>
      </c>
      <c r="E26" s="38">
        <f t="shared" si="9"/>
        <v>7183</v>
      </c>
      <c r="F26" s="38">
        <f t="shared" si="8"/>
        <v>7183</v>
      </c>
      <c r="G26" s="38">
        <f t="shared" ref="G26:G27" si="10">SUM(H26:I26)</f>
        <v>7183</v>
      </c>
      <c r="H26" s="38">
        <v>7183</v>
      </c>
      <c r="I26" s="38"/>
      <c r="J26" s="38"/>
      <c r="K26" s="38"/>
      <c r="L26" s="39"/>
      <c r="M26" s="9"/>
    </row>
    <row r="27" spans="1:13" ht="12.75">
      <c r="A27" s="4258"/>
      <c r="B27" s="4304"/>
      <c r="C27" s="4307"/>
      <c r="D27" s="37">
        <v>4120</v>
      </c>
      <c r="E27" s="38">
        <f t="shared" si="9"/>
        <v>1023</v>
      </c>
      <c r="F27" s="38">
        <f t="shared" si="8"/>
        <v>1023</v>
      </c>
      <c r="G27" s="38">
        <f t="shared" si="10"/>
        <v>1023</v>
      </c>
      <c r="H27" s="38">
        <v>1023</v>
      </c>
      <c r="I27" s="38"/>
      <c r="J27" s="38"/>
      <c r="K27" s="38"/>
      <c r="L27" s="39"/>
      <c r="M27" s="9"/>
    </row>
    <row r="28" spans="1:13" ht="29.25" customHeight="1">
      <c r="A28" s="4263" t="s">
        <v>38</v>
      </c>
      <c r="B28" s="4310" t="s">
        <v>17</v>
      </c>
      <c r="C28" s="4310"/>
      <c r="D28" s="45"/>
      <c r="E28" s="41">
        <f>SUM(E29)</f>
        <v>398000</v>
      </c>
      <c r="F28" s="41">
        <f>SUM(G28,J28,K28)</f>
        <v>398000</v>
      </c>
      <c r="G28" s="41">
        <f>SUM(H28:I28)</f>
        <v>398000</v>
      </c>
      <c r="H28" s="41">
        <f>SUM(H29)</f>
        <v>338000</v>
      </c>
      <c r="I28" s="41">
        <f>SUM(I29)</f>
        <v>60000</v>
      </c>
      <c r="J28" s="41"/>
      <c r="K28" s="41"/>
      <c r="L28" s="42"/>
    </row>
    <row r="29" spans="1:13" ht="27" customHeight="1">
      <c r="A29" s="4258"/>
      <c r="B29" s="4303" t="s">
        <v>39</v>
      </c>
      <c r="C29" s="4306" t="s">
        <v>67</v>
      </c>
      <c r="D29" s="34" t="s">
        <v>66</v>
      </c>
      <c r="E29" s="35">
        <f>F29+L29</f>
        <v>398000</v>
      </c>
      <c r="F29" s="35">
        <f t="shared" si="5"/>
        <v>398000</v>
      </c>
      <c r="G29" s="35">
        <f>SUM(H29:I29)</f>
        <v>398000</v>
      </c>
      <c r="H29" s="35">
        <f>SUM(H30:H32)</f>
        <v>338000</v>
      </c>
      <c r="I29" s="35">
        <f>SUM(I30:I33)</f>
        <v>60000</v>
      </c>
      <c r="J29" s="35"/>
      <c r="K29" s="35"/>
      <c r="L29" s="36"/>
    </row>
    <row r="30" spans="1:13" ht="12.75">
      <c r="A30" s="4258"/>
      <c r="B30" s="4304"/>
      <c r="C30" s="4307"/>
      <c r="D30" s="37">
        <v>4010</v>
      </c>
      <c r="E30" s="38">
        <f>SUM(F30,L30)</f>
        <v>280780</v>
      </c>
      <c r="F30" s="38">
        <f t="shared" si="5"/>
        <v>280780</v>
      </c>
      <c r="G30" s="38">
        <f>SUM(H30:I30)</f>
        <v>280780</v>
      </c>
      <c r="H30" s="38">
        <v>280780</v>
      </c>
      <c r="I30" s="38"/>
      <c r="J30" s="38"/>
      <c r="K30" s="38"/>
      <c r="L30" s="39"/>
      <c r="M30" s="9"/>
    </row>
    <row r="31" spans="1:13" ht="12.75">
      <c r="A31" s="4258"/>
      <c r="B31" s="4304"/>
      <c r="C31" s="4307"/>
      <c r="D31" s="37">
        <v>4110</v>
      </c>
      <c r="E31" s="38">
        <f>SUM(F31,L31)</f>
        <v>50340</v>
      </c>
      <c r="F31" s="38">
        <f t="shared" si="5"/>
        <v>50340</v>
      </c>
      <c r="G31" s="38">
        <f t="shared" ref="G31:G33" si="11">SUM(H31:I31)</f>
        <v>50340</v>
      </c>
      <c r="H31" s="38">
        <v>50340</v>
      </c>
      <c r="I31" s="38"/>
      <c r="J31" s="38"/>
      <c r="K31" s="38"/>
      <c r="L31" s="39"/>
      <c r="M31" s="9"/>
    </row>
    <row r="32" spans="1:13" ht="12.75">
      <c r="A32" s="4258"/>
      <c r="B32" s="4304"/>
      <c r="C32" s="4307"/>
      <c r="D32" s="37">
        <v>4120</v>
      </c>
      <c r="E32" s="38">
        <f t="shared" ref="E32" si="12">SUM(F32,L32)</f>
        <v>6880</v>
      </c>
      <c r="F32" s="38">
        <f t="shared" si="5"/>
        <v>6880</v>
      </c>
      <c r="G32" s="38">
        <f t="shared" si="11"/>
        <v>6880</v>
      </c>
      <c r="H32" s="38">
        <v>6880</v>
      </c>
      <c r="I32" s="38"/>
      <c r="J32" s="38"/>
      <c r="K32" s="38"/>
      <c r="L32" s="39"/>
      <c r="M32" s="9"/>
    </row>
    <row r="33" spans="1:13" ht="12.75">
      <c r="A33" s="4259"/>
      <c r="B33" s="4305"/>
      <c r="C33" s="4308"/>
      <c r="D33" s="37">
        <v>4300</v>
      </c>
      <c r="E33" s="38">
        <f>SUM(F33,L33)</f>
        <v>60000</v>
      </c>
      <c r="F33" s="38">
        <f t="shared" si="5"/>
        <v>60000</v>
      </c>
      <c r="G33" s="38">
        <f t="shared" si="11"/>
        <v>60000</v>
      </c>
      <c r="H33" s="38"/>
      <c r="I33" s="38">
        <v>60000</v>
      </c>
      <c r="J33" s="38"/>
      <c r="K33" s="38"/>
      <c r="L33" s="39"/>
      <c r="M33" s="9"/>
    </row>
    <row r="34" spans="1:13" ht="29.25" customHeight="1">
      <c r="A34" s="4263" t="s">
        <v>40</v>
      </c>
      <c r="B34" s="4302" t="s">
        <v>4</v>
      </c>
      <c r="C34" s="4302"/>
      <c r="D34" s="46"/>
      <c r="E34" s="41">
        <f>SUM(F34,L34)</f>
        <v>487000</v>
      </c>
      <c r="F34" s="41">
        <f>SUM(G34,J34,K34)</f>
        <v>487000</v>
      </c>
      <c r="G34" s="41">
        <f>SUM(H34:I34)</f>
        <v>480000</v>
      </c>
      <c r="H34" s="41">
        <f>SUM(H35,H39,H45)</f>
        <v>413270</v>
      </c>
      <c r="I34" s="41">
        <f>SUM(I35,I39,I45)</f>
        <v>66730</v>
      </c>
      <c r="J34" s="41"/>
      <c r="K34" s="41">
        <f t="shared" ref="K34" si="13">SUM(K35,K39,K45)</f>
        <v>7000</v>
      </c>
      <c r="L34" s="42"/>
    </row>
    <row r="35" spans="1:13" s="48" customFormat="1" ht="23.25" customHeight="1">
      <c r="A35" s="4258"/>
      <c r="B35" s="4303" t="s">
        <v>41</v>
      </c>
      <c r="C35" s="4306" t="s">
        <v>21</v>
      </c>
      <c r="D35" s="34" t="s">
        <v>66</v>
      </c>
      <c r="E35" s="35">
        <f t="shared" ref="E35:E38" si="14">SUM(F35,L35)</f>
        <v>242000</v>
      </c>
      <c r="F35" s="35">
        <f>SUM(G35,J35,K35)</f>
        <v>242000</v>
      </c>
      <c r="G35" s="35">
        <f>SUM(H35:I35)</f>
        <v>242000</v>
      </c>
      <c r="H35" s="35">
        <f>SUM(H36:H38)</f>
        <v>242000</v>
      </c>
      <c r="I35" s="35"/>
      <c r="J35" s="35"/>
      <c r="K35" s="35"/>
      <c r="L35" s="36"/>
      <c r="M35" s="47"/>
    </row>
    <row r="36" spans="1:13" s="48" customFormat="1" ht="12.75">
      <c r="A36" s="4258"/>
      <c r="B36" s="4304"/>
      <c r="C36" s="4307"/>
      <c r="D36" s="37">
        <v>4010</v>
      </c>
      <c r="E36" s="38">
        <f t="shared" si="14"/>
        <v>216393</v>
      </c>
      <c r="F36" s="38">
        <f>SUM(G36,J36,K36)</f>
        <v>216393</v>
      </c>
      <c r="G36" s="38">
        <f>SUM(H36:I36)</f>
        <v>216393</v>
      </c>
      <c r="H36" s="38">
        <v>216393</v>
      </c>
      <c r="I36" s="38"/>
      <c r="J36" s="38"/>
      <c r="K36" s="38"/>
      <c r="L36" s="39"/>
    </row>
    <row r="37" spans="1:13" s="48" customFormat="1" ht="12.75">
      <c r="A37" s="4258"/>
      <c r="B37" s="4304"/>
      <c r="C37" s="4307"/>
      <c r="D37" s="37">
        <v>4110</v>
      </c>
      <c r="E37" s="38">
        <f t="shared" si="14"/>
        <v>22413</v>
      </c>
      <c r="F37" s="38">
        <f t="shared" ref="F37:F38" si="15">SUM(G37,J37,K37)</f>
        <v>22413</v>
      </c>
      <c r="G37" s="38">
        <f t="shared" ref="G37:G38" si="16">SUM(H37:I37)</f>
        <v>22413</v>
      </c>
      <c r="H37" s="38">
        <v>22413</v>
      </c>
      <c r="I37" s="38"/>
      <c r="J37" s="38"/>
      <c r="K37" s="38"/>
      <c r="L37" s="39"/>
      <c r="M37" s="47"/>
    </row>
    <row r="38" spans="1:13" s="48" customFormat="1" ht="12.75">
      <c r="A38" s="4258"/>
      <c r="B38" s="4305"/>
      <c r="C38" s="4308"/>
      <c r="D38" s="37">
        <v>4120</v>
      </c>
      <c r="E38" s="38">
        <f t="shared" si="14"/>
        <v>3194</v>
      </c>
      <c r="F38" s="38">
        <f t="shared" si="15"/>
        <v>3194</v>
      </c>
      <c r="G38" s="38">
        <f t="shared" si="16"/>
        <v>3194</v>
      </c>
      <c r="H38" s="38">
        <v>3194</v>
      </c>
      <c r="I38" s="38"/>
      <c r="J38" s="38"/>
      <c r="K38" s="38"/>
      <c r="L38" s="39"/>
    </row>
    <row r="39" spans="1:13" ht="24" customHeight="1">
      <c r="A39" s="4258"/>
      <c r="B39" s="4303" t="s">
        <v>42</v>
      </c>
      <c r="C39" s="4306" t="s">
        <v>22</v>
      </c>
      <c r="D39" s="34" t="s">
        <v>66</v>
      </c>
      <c r="E39" s="35">
        <f>SUM(F39,L39)</f>
        <v>20000</v>
      </c>
      <c r="F39" s="35">
        <f>SUM(G39,J39,K39)</f>
        <v>20000</v>
      </c>
      <c r="G39" s="35">
        <f>SUM(H39:I39)</f>
        <v>20000</v>
      </c>
      <c r="H39" s="35">
        <f>SUM(H40:H44)</f>
        <v>11270</v>
      </c>
      <c r="I39" s="35">
        <f>SUM(I40:I44)</f>
        <v>8730</v>
      </c>
      <c r="J39" s="43"/>
      <c r="K39" s="43"/>
      <c r="L39" s="44"/>
    </row>
    <row r="40" spans="1:13" ht="12.75">
      <c r="A40" s="4258"/>
      <c r="B40" s="4304"/>
      <c r="C40" s="4307"/>
      <c r="D40" s="37">
        <v>4110</v>
      </c>
      <c r="E40" s="38">
        <f>SUM(F40,L40)</f>
        <v>700</v>
      </c>
      <c r="F40" s="38">
        <f>SUM(G40,J40,K40)</f>
        <v>700</v>
      </c>
      <c r="G40" s="38">
        <f>SUM(H40:I40)</f>
        <v>700</v>
      </c>
      <c r="H40" s="38">
        <v>700</v>
      </c>
      <c r="I40" s="38"/>
      <c r="J40" s="49"/>
      <c r="K40" s="49"/>
      <c r="L40" s="50"/>
    </row>
    <row r="41" spans="1:13" ht="12.75">
      <c r="A41" s="4258"/>
      <c r="B41" s="4304"/>
      <c r="C41" s="4307"/>
      <c r="D41" s="37">
        <v>4120</v>
      </c>
      <c r="E41" s="38">
        <f>SUM(F41,L41)</f>
        <v>140</v>
      </c>
      <c r="F41" s="38">
        <f t="shared" ref="F41:F44" si="17">SUM(G41,J41,K41)</f>
        <v>140</v>
      </c>
      <c r="G41" s="38">
        <f t="shared" ref="G41:G67" si="18">SUM(H41:I41)</f>
        <v>140</v>
      </c>
      <c r="H41" s="38">
        <v>140</v>
      </c>
      <c r="I41" s="38"/>
      <c r="J41" s="49"/>
      <c r="K41" s="49"/>
      <c r="L41" s="50"/>
    </row>
    <row r="42" spans="1:13" ht="12.75">
      <c r="A42" s="4258"/>
      <c r="B42" s="4304"/>
      <c r="C42" s="4307"/>
      <c r="D42" s="37">
        <v>4170</v>
      </c>
      <c r="E42" s="38">
        <f t="shared" ref="E42:E56" si="19">SUM(F42,L42)</f>
        <v>10430</v>
      </c>
      <c r="F42" s="38">
        <f t="shared" si="17"/>
        <v>10430</v>
      </c>
      <c r="G42" s="38">
        <f t="shared" si="18"/>
        <v>10430</v>
      </c>
      <c r="H42" s="38">
        <v>10430</v>
      </c>
      <c r="I42" s="38"/>
      <c r="J42" s="49"/>
      <c r="K42" s="49"/>
      <c r="L42" s="50"/>
      <c r="M42" s="9"/>
    </row>
    <row r="43" spans="1:13" ht="12.75">
      <c r="A43" s="4258"/>
      <c r="B43" s="4304"/>
      <c r="C43" s="4307"/>
      <c r="D43" s="37">
        <v>4210</v>
      </c>
      <c r="E43" s="38">
        <f t="shared" si="19"/>
        <v>3500</v>
      </c>
      <c r="F43" s="38">
        <f t="shared" si="17"/>
        <v>3500</v>
      </c>
      <c r="G43" s="38">
        <f t="shared" si="18"/>
        <v>3500</v>
      </c>
      <c r="H43" s="38"/>
      <c r="I43" s="38">
        <v>3500</v>
      </c>
      <c r="J43" s="49"/>
      <c r="K43" s="49"/>
      <c r="L43" s="50"/>
    </row>
    <row r="44" spans="1:13" ht="12.75">
      <c r="A44" s="4258"/>
      <c r="B44" s="4305"/>
      <c r="C44" s="4308"/>
      <c r="D44" s="37">
        <v>4300</v>
      </c>
      <c r="E44" s="38">
        <f t="shared" si="19"/>
        <v>5230</v>
      </c>
      <c r="F44" s="38">
        <f t="shared" si="17"/>
        <v>5230</v>
      </c>
      <c r="G44" s="38">
        <f t="shared" si="18"/>
        <v>5230</v>
      </c>
      <c r="H44" s="38"/>
      <c r="I44" s="38">
        <v>5230</v>
      </c>
      <c r="J44" s="49"/>
      <c r="K44" s="49"/>
      <c r="L44" s="50"/>
      <c r="M44" s="9"/>
    </row>
    <row r="45" spans="1:13" s="48" customFormat="1" ht="23.25" customHeight="1">
      <c r="A45" s="4258"/>
      <c r="B45" s="4303" t="s">
        <v>43</v>
      </c>
      <c r="C45" s="4306" t="s">
        <v>23</v>
      </c>
      <c r="D45" s="34" t="s">
        <v>66</v>
      </c>
      <c r="E45" s="35">
        <f>SUM(F45,L45)</f>
        <v>225000</v>
      </c>
      <c r="F45" s="35">
        <f>SUM(G45,J45,K45)</f>
        <v>225000</v>
      </c>
      <c r="G45" s="35">
        <f>SUM(H45:I45)</f>
        <v>218000</v>
      </c>
      <c r="H45" s="35">
        <f>SUM(H47:H56)</f>
        <v>160000</v>
      </c>
      <c r="I45" s="35">
        <f>SUM(I47:I56)</f>
        <v>58000</v>
      </c>
      <c r="J45" s="35"/>
      <c r="K45" s="35">
        <f>SUM(K46:K56)</f>
        <v>7000</v>
      </c>
      <c r="L45" s="36"/>
      <c r="M45" s="47"/>
    </row>
    <row r="46" spans="1:13" s="52" customFormat="1" ht="12.75">
      <c r="A46" s="4258"/>
      <c r="B46" s="4304"/>
      <c r="C46" s="4307"/>
      <c r="D46" s="37">
        <v>3030</v>
      </c>
      <c r="E46" s="38">
        <f t="shared" si="19"/>
        <v>7000</v>
      </c>
      <c r="F46" s="38">
        <f>SUM(G46,J46,K46)</f>
        <v>7000</v>
      </c>
      <c r="G46" s="38"/>
      <c r="H46" s="38"/>
      <c r="I46" s="38"/>
      <c r="J46" s="38"/>
      <c r="K46" s="38">
        <v>7000</v>
      </c>
      <c r="L46" s="39"/>
      <c r="M46" s="51"/>
    </row>
    <row r="47" spans="1:13" s="48" customFormat="1" ht="12.75">
      <c r="A47" s="4258"/>
      <c r="B47" s="4304"/>
      <c r="C47" s="4307"/>
      <c r="D47" s="37">
        <v>4010</v>
      </c>
      <c r="E47" s="38">
        <f t="shared" si="19"/>
        <v>132063</v>
      </c>
      <c r="F47" s="38">
        <f>SUM(G47,J47,K47)</f>
        <v>132063</v>
      </c>
      <c r="G47" s="38">
        <f>SUM(H47:I47)</f>
        <v>132063</v>
      </c>
      <c r="H47" s="38">
        <v>132063</v>
      </c>
      <c r="I47" s="38"/>
      <c r="J47" s="38"/>
      <c r="K47" s="38"/>
      <c r="L47" s="39"/>
    </row>
    <row r="48" spans="1:13" s="48" customFormat="1" ht="12.75">
      <c r="A48" s="4258"/>
      <c r="B48" s="4304"/>
      <c r="C48" s="4307"/>
      <c r="D48" s="37">
        <v>4110</v>
      </c>
      <c r="E48" s="38">
        <f t="shared" si="19"/>
        <v>22701</v>
      </c>
      <c r="F48" s="38">
        <f t="shared" ref="F48:F56" si="20">SUM(G48,J48,K48)</f>
        <v>22701</v>
      </c>
      <c r="G48" s="38">
        <f t="shared" ref="G48:G56" si="21">SUM(H48:I48)</f>
        <v>22701</v>
      </c>
      <c r="H48" s="38">
        <v>22701</v>
      </c>
      <c r="I48" s="38"/>
      <c r="J48" s="38"/>
      <c r="K48" s="38"/>
      <c r="L48" s="39"/>
    </row>
    <row r="49" spans="1:13" s="48" customFormat="1" ht="12.75">
      <c r="A49" s="4258"/>
      <c r="B49" s="4304"/>
      <c r="C49" s="4307"/>
      <c r="D49" s="37">
        <v>4120</v>
      </c>
      <c r="E49" s="38">
        <f t="shared" si="19"/>
        <v>3236</v>
      </c>
      <c r="F49" s="38">
        <f t="shared" si="20"/>
        <v>3236</v>
      </c>
      <c r="G49" s="38">
        <f t="shared" si="21"/>
        <v>3236</v>
      </c>
      <c r="H49" s="38">
        <v>3236</v>
      </c>
      <c r="I49" s="38"/>
      <c r="J49" s="38"/>
      <c r="K49" s="38"/>
      <c r="L49" s="39"/>
    </row>
    <row r="50" spans="1:13" s="48" customFormat="1" ht="12.75">
      <c r="A50" s="4258"/>
      <c r="B50" s="4304"/>
      <c r="C50" s="4307"/>
      <c r="D50" s="37">
        <v>4170</v>
      </c>
      <c r="E50" s="38">
        <f t="shared" si="19"/>
        <v>2000</v>
      </c>
      <c r="F50" s="38">
        <f t="shared" si="20"/>
        <v>2000</v>
      </c>
      <c r="G50" s="38">
        <f t="shared" si="21"/>
        <v>2000</v>
      </c>
      <c r="H50" s="38">
        <v>2000</v>
      </c>
      <c r="I50" s="38"/>
      <c r="J50" s="38"/>
      <c r="K50" s="38"/>
      <c r="L50" s="39"/>
    </row>
    <row r="51" spans="1:13" s="48" customFormat="1" ht="12.75">
      <c r="A51" s="4258"/>
      <c r="B51" s="4304"/>
      <c r="C51" s="4307"/>
      <c r="D51" s="37">
        <v>4210</v>
      </c>
      <c r="E51" s="38">
        <f t="shared" si="19"/>
        <v>27000</v>
      </c>
      <c r="F51" s="38">
        <f t="shared" si="20"/>
        <v>27000</v>
      </c>
      <c r="G51" s="38">
        <f t="shared" si="21"/>
        <v>27000</v>
      </c>
      <c r="H51" s="38"/>
      <c r="I51" s="38">
        <v>27000</v>
      </c>
      <c r="J51" s="38"/>
      <c r="K51" s="38"/>
      <c r="L51" s="39"/>
    </row>
    <row r="52" spans="1:13" s="48" customFormat="1" ht="12.75">
      <c r="A52" s="4258"/>
      <c r="B52" s="4304"/>
      <c r="C52" s="4307"/>
      <c r="D52" s="37">
        <v>4220</v>
      </c>
      <c r="E52" s="38">
        <f t="shared" si="19"/>
        <v>1000</v>
      </c>
      <c r="F52" s="38">
        <f t="shared" si="20"/>
        <v>1000</v>
      </c>
      <c r="G52" s="38">
        <f t="shared" si="21"/>
        <v>1000</v>
      </c>
      <c r="H52" s="38"/>
      <c r="I52" s="38">
        <v>1000</v>
      </c>
      <c r="J52" s="38"/>
      <c r="K52" s="38"/>
      <c r="L52" s="39"/>
    </row>
    <row r="53" spans="1:13" s="48" customFormat="1" ht="12.75">
      <c r="A53" s="4258"/>
      <c r="B53" s="4304"/>
      <c r="C53" s="4307"/>
      <c r="D53" s="37">
        <v>4300</v>
      </c>
      <c r="E53" s="38">
        <f t="shared" si="19"/>
        <v>24000</v>
      </c>
      <c r="F53" s="38">
        <f t="shared" si="20"/>
        <v>24000</v>
      </c>
      <c r="G53" s="38">
        <f t="shared" si="21"/>
        <v>24000</v>
      </c>
      <c r="H53" s="38"/>
      <c r="I53" s="38">
        <v>24000</v>
      </c>
      <c r="J53" s="38"/>
      <c r="K53" s="38"/>
      <c r="L53" s="39"/>
    </row>
    <row r="54" spans="1:13" s="48" customFormat="1" ht="12.75">
      <c r="A54" s="4258"/>
      <c r="B54" s="4304"/>
      <c r="C54" s="4307"/>
      <c r="D54" s="37">
        <v>4390</v>
      </c>
      <c r="E54" s="38">
        <f t="shared" si="19"/>
        <v>2000</v>
      </c>
      <c r="F54" s="38">
        <f t="shared" si="20"/>
        <v>2000</v>
      </c>
      <c r="G54" s="38">
        <f t="shared" si="21"/>
        <v>2000</v>
      </c>
      <c r="H54" s="38"/>
      <c r="I54" s="38">
        <v>2000</v>
      </c>
      <c r="J54" s="38"/>
      <c r="K54" s="38"/>
      <c r="L54" s="39"/>
    </row>
    <row r="55" spans="1:13" s="48" customFormat="1" ht="12.75">
      <c r="A55" s="4258"/>
      <c r="B55" s="4304"/>
      <c r="C55" s="4307"/>
      <c r="D55" s="37">
        <v>4410</v>
      </c>
      <c r="E55" s="38">
        <f t="shared" si="19"/>
        <v>2000</v>
      </c>
      <c r="F55" s="38">
        <f t="shared" si="20"/>
        <v>2000</v>
      </c>
      <c r="G55" s="38">
        <f t="shared" si="21"/>
        <v>2000</v>
      </c>
      <c r="H55" s="38"/>
      <c r="I55" s="38">
        <v>2000</v>
      </c>
      <c r="J55" s="38"/>
      <c r="K55" s="38"/>
      <c r="L55" s="39"/>
      <c r="M55" s="47"/>
    </row>
    <row r="56" spans="1:13" s="48" customFormat="1" ht="12.75">
      <c r="A56" s="4259"/>
      <c r="B56" s="4305"/>
      <c r="C56" s="4308"/>
      <c r="D56" s="37">
        <v>4700</v>
      </c>
      <c r="E56" s="38">
        <f t="shared" si="19"/>
        <v>2000</v>
      </c>
      <c r="F56" s="38">
        <f t="shared" si="20"/>
        <v>2000</v>
      </c>
      <c r="G56" s="38">
        <f t="shared" si="21"/>
        <v>2000</v>
      </c>
      <c r="H56" s="38"/>
      <c r="I56" s="38">
        <v>2000</v>
      </c>
      <c r="J56" s="38"/>
      <c r="K56" s="38"/>
      <c r="L56" s="39"/>
    </row>
    <row r="57" spans="1:13" s="103" customFormat="1" ht="29.25" customHeight="1">
      <c r="A57" s="4274" t="s">
        <v>77</v>
      </c>
      <c r="B57" s="4273" t="s">
        <v>24</v>
      </c>
      <c r="C57" s="4273"/>
      <c r="D57" s="109"/>
      <c r="E57" s="110">
        <f>F57+L57</f>
        <v>5000</v>
      </c>
      <c r="F57" s="110">
        <f>SUM(G57,J57,K57)</f>
        <v>5000</v>
      </c>
      <c r="G57" s="110">
        <f>SUM(H57:I57)</f>
        <v>5000</v>
      </c>
      <c r="H57" s="110"/>
      <c r="I57" s="110">
        <f>SUM(I58)</f>
        <v>5000</v>
      </c>
      <c r="J57" s="110"/>
      <c r="K57" s="110"/>
      <c r="L57" s="111"/>
    </row>
    <row r="58" spans="1:13" s="103" customFormat="1" ht="27" customHeight="1">
      <c r="A58" s="4258"/>
      <c r="B58" s="4276" t="s">
        <v>78</v>
      </c>
      <c r="C58" s="4279" t="s">
        <v>79</v>
      </c>
      <c r="D58" s="112" t="s">
        <v>66</v>
      </c>
      <c r="E58" s="113">
        <f>F58+L58</f>
        <v>5000</v>
      </c>
      <c r="F58" s="113">
        <f t="shared" ref="F58:F60" si="22">SUM(G58,J58,K58)</f>
        <v>5000</v>
      </c>
      <c r="G58" s="113">
        <f>SUM(H58:I58)</f>
        <v>5000</v>
      </c>
      <c r="H58" s="113"/>
      <c r="I58" s="113">
        <f>SUM(I59:I60)</f>
        <v>5000</v>
      </c>
      <c r="J58" s="113"/>
      <c r="K58" s="113"/>
      <c r="L58" s="114"/>
    </row>
    <row r="59" spans="1:13" s="103" customFormat="1" ht="12.75">
      <c r="A59" s="4258"/>
      <c r="B59" s="4277"/>
      <c r="C59" s="4280"/>
      <c r="D59" s="104">
        <v>4210</v>
      </c>
      <c r="E59" s="105">
        <f t="shared" ref="E59:E60" si="23">SUM(F59,L59)</f>
        <v>2000</v>
      </c>
      <c r="F59" s="105">
        <f t="shared" si="22"/>
        <v>2000</v>
      </c>
      <c r="G59" s="105">
        <f>SUM(H59:I59)</f>
        <v>2000</v>
      </c>
      <c r="H59" s="105"/>
      <c r="I59" s="105">
        <v>2000</v>
      </c>
      <c r="J59" s="105"/>
      <c r="K59" s="105"/>
      <c r="L59" s="106"/>
      <c r="M59" s="9"/>
    </row>
    <row r="60" spans="1:13" s="103" customFormat="1" ht="12.75">
      <c r="A60" s="4275"/>
      <c r="B60" s="4278"/>
      <c r="C60" s="4281"/>
      <c r="D60" s="104">
        <v>4300</v>
      </c>
      <c r="E60" s="105">
        <f t="shared" si="23"/>
        <v>3000</v>
      </c>
      <c r="F60" s="105">
        <f t="shared" si="22"/>
        <v>3000</v>
      </c>
      <c r="G60" s="105">
        <f t="shared" ref="G60" si="24">SUM(H60:I60)</f>
        <v>3000</v>
      </c>
      <c r="H60" s="105"/>
      <c r="I60" s="105">
        <v>3000</v>
      </c>
      <c r="J60" s="105"/>
      <c r="K60" s="105"/>
      <c r="L60" s="106"/>
      <c r="M60" s="9"/>
    </row>
    <row r="61" spans="1:13" ht="30.75" customHeight="1">
      <c r="A61" s="4263" t="s">
        <v>44</v>
      </c>
      <c r="B61" s="4310" t="s">
        <v>45</v>
      </c>
      <c r="C61" s="4310"/>
      <c r="D61" s="45"/>
      <c r="E61" s="41">
        <f>SUM(E62:E65)</f>
        <v>19926691</v>
      </c>
      <c r="F61" s="41">
        <f>SUM(F63:F65)</f>
        <v>19776691</v>
      </c>
      <c r="G61" s="41">
        <f>SUM(H61:I61)</f>
        <v>19776691</v>
      </c>
      <c r="H61" s="41">
        <f>SUM(H62:H65)</f>
        <v>27200</v>
      </c>
      <c r="I61" s="41">
        <f>SUM(I62:I65)</f>
        <v>19749491</v>
      </c>
      <c r="J61" s="41"/>
      <c r="K61" s="41"/>
      <c r="L61" s="42">
        <f>SUM(L62:L65)</f>
        <v>150000</v>
      </c>
    </row>
    <row r="62" spans="1:13" s="103" customFormat="1" ht="27.75" customHeight="1">
      <c r="A62" s="4258"/>
      <c r="B62" s="107" t="s">
        <v>80</v>
      </c>
      <c r="C62" s="108" t="s">
        <v>25</v>
      </c>
      <c r="D62" s="34">
        <v>6220</v>
      </c>
      <c r="E62" s="35">
        <f>SUM(F62,L62)</f>
        <v>150000</v>
      </c>
      <c r="F62" s="35"/>
      <c r="G62" s="35"/>
      <c r="H62" s="35"/>
      <c r="I62" s="35"/>
      <c r="J62" s="43"/>
      <c r="K62" s="43"/>
      <c r="L62" s="36">
        <v>150000</v>
      </c>
    </row>
    <row r="63" spans="1:13" ht="84.75" customHeight="1">
      <c r="A63" s="4258"/>
      <c r="B63" s="53" t="s">
        <v>46</v>
      </c>
      <c r="C63" s="34" t="s">
        <v>26</v>
      </c>
      <c r="D63" s="34">
        <v>4130</v>
      </c>
      <c r="E63" s="35">
        <f t="shared" ref="E63" si="25">SUM(F63,L63)</f>
        <v>10000</v>
      </c>
      <c r="F63" s="35">
        <f>SUM(G63,J63,K63)</f>
        <v>10000</v>
      </c>
      <c r="G63" s="35">
        <f t="shared" si="18"/>
        <v>10000</v>
      </c>
      <c r="H63" s="35"/>
      <c r="I63" s="35">
        <v>10000</v>
      </c>
      <c r="J63" s="35"/>
      <c r="K63" s="35"/>
      <c r="L63" s="36"/>
    </row>
    <row r="64" spans="1:13" s="103" customFormat="1" ht="27.75" customHeight="1">
      <c r="A64" s="4258"/>
      <c r="B64" s="107" t="s">
        <v>81</v>
      </c>
      <c r="C64" s="108" t="s">
        <v>82</v>
      </c>
      <c r="D64" s="34">
        <v>4320</v>
      </c>
      <c r="E64" s="35">
        <f>SUM(F64,L64)</f>
        <v>19736691</v>
      </c>
      <c r="F64" s="35">
        <f>SUM(G64,J64,K64)</f>
        <v>19736691</v>
      </c>
      <c r="G64" s="35">
        <f t="shared" ref="G64" si="26">SUM(H64:I64)</f>
        <v>19736691</v>
      </c>
      <c r="H64" s="35"/>
      <c r="I64" s="35">
        <v>19736691</v>
      </c>
      <c r="J64" s="43"/>
      <c r="K64" s="43"/>
      <c r="L64" s="44"/>
    </row>
    <row r="65" spans="1:13" ht="24" customHeight="1">
      <c r="A65" s="4258"/>
      <c r="B65" s="4303" t="s">
        <v>48</v>
      </c>
      <c r="C65" s="4306" t="s">
        <v>11</v>
      </c>
      <c r="D65" s="34" t="s">
        <v>66</v>
      </c>
      <c r="E65" s="35">
        <f>SUM(F65,L65)</f>
        <v>30000</v>
      </c>
      <c r="F65" s="35">
        <f>SUM(G65,J65,K65)</f>
        <v>30000</v>
      </c>
      <c r="G65" s="35">
        <f t="shared" si="18"/>
        <v>30000</v>
      </c>
      <c r="H65" s="35">
        <f>SUM(H66:H67)</f>
        <v>27200</v>
      </c>
      <c r="I65" s="35">
        <f>SUM(I66:I67)</f>
        <v>2800</v>
      </c>
      <c r="J65" s="43"/>
      <c r="K65" s="43"/>
      <c r="L65" s="44"/>
    </row>
    <row r="66" spans="1:13" ht="12.75">
      <c r="A66" s="4258"/>
      <c r="B66" s="4304"/>
      <c r="C66" s="4307"/>
      <c r="D66" s="37">
        <v>4170</v>
      </c>
      <c r="E66" s="38">
        <f>SUM(F66,L66)</f>
        <v>27200</v>
      </c>
      <c r="F66" s="38">
        <f>SUM(G66,J66,K66)</f>
        <v>27200</v>
      </c>
      <c r="G66" s="38">
        <f t="shared" si="18"/>
        <v>27200</v>
      </c>
      <c r="H66" s="38">
        <v>27200</v>
      </c>
      <c r="I66" s="38"/>
      <c r="J66" s="38"/>
      <c r="K66" s="38"/>
      <c r="L66" s="39"/>
    </row>
    <row r="67" spans="1:13" ht="12.75">
      <c r="A67" s="4259"/>
      <c r="B67" s="4305"/>
      <c r="C67" s="4308"/>
      <c r="D67" s="37">
        <v>4300</v>
      </c>
      <c r="E67" s="38">
        <f t="shared" ref="E67" si="27">SUM(F67,L67)</f>
        <v>2800</v>
      </c>
      <c r="F67" s="38">
        <f t="shared" ref="F67" si="28">SUM(G67,J67,K67)</f>
        <v>2800</v>
      </c>
      <c r="G67" s="38">
        <f t="shared" si="18"/>
        <v>2800</v>
      </c>
      <c r="H67" s="38"/>
      <c r="I67" s="38">
        <v>2800</v>
      </c>
      <c r="J67" s="38"/>
      <c r="K67" s="38"/>
      <c r="L67" s="39"/>
    </row>
    <row r="68" spans="1:13" ht="32.25" customHeight="1">
      <c r="A68" s="4263" t="s">
        <v>49</v>
      </c>
      <c r="B68" s="4313" t="s">
        <v>27</v>
      </c>
      <c r="C68" s="4313"/>
      <c r="D68" s="54"/>
      <c r="E68" s="32">
        <f>SUM(F68,L68)</f>
        <v>1000</v>
      </c>
      <c r="F68" s="32">
        <f t="shared" ref="F68:K68" si="29">SUM(F69)</f>
        <v>1000</v>
      </c>
      <c r="G68" s="32">
        <f>SUM(H68:I68)</f>
        <v>870</v>
      </c>
      <c r="H68" s="32">
        <f>SUM(H69)</f>
        <v>620</v>
      </c>
      <c r="I68" s="32">
        <f t="shared" si="29"/>
        <v>250</v>
      </c>
      <c r="J68" s="32"/>
      <c r="K68" s="32">
        <f t="shared" si="29"/>
        <v>130</v>
      </c>
      <c r="L68" s="33"/>
    </row>
    <row r="69" spans="1:13" s="48" customFormat="1" ht="30.75" customHeight="1">
      <c r="A69" s="4258"/>
      <c r="B69" s="4303" t="s">
        <v>50</v>
      </c>
      <c r="C69" s="4314" t="s">
        <v>51</v>
      </c>
      <c r="D69" s="55" t="s">
        <v>66</v>
      </c>
      <c r="E69" s="35">
        <f>SUM(F69,L69)</f>
        <v>1000</v>
      </c>
      <c r="F69" s="35">
        <f>SUM(G69,J69,K69)</f>
        <v>1000</v>
      </c>
      <c r="G69" s="35">
        <f>SUM(H69:I69)</f>
        <v>870</v>
      </c>
      <c r="H69" s="35">
        <f>SUM(H70:H72)</f>
        <v>620</v>
      </c>
      <c r="I69" s="35">
        <f>SUM(I70:I72)</f>
        <v>250</v>
      </c>
      <c r="J69" s="35"/>
      <c r="K69" s="35">
        <f t="shared" ref="K69" si="30">SUM(K70:K72)</f>
        <v>130</v>
      </c>
      <c r="L69" s="36"/>
    </row>
    <row r="70" spans="1:13" s="48" customFormat="1" ht="12.75">
      <c r="A70" s="4258"/>
      <c r="B70" s="4304"/>
      <c r="C70" s="4315"/>
      <c r="D70" s="56">
        <v>3030</v>
      </c>
      <c r="E70" s="38">
        <f>SUM(F70,L70)</f>
        <v>130</v>
      </c>
      <c r="F70" s="38">
        <f>SUM(G70,J70,K70)</f>
        <v>130</v>
      </c>
      <c r="G70" s="38"/>
      <c r="H70" s="38"/>
      <c r="I70" s="38"/>
      <c r="J70" s="38"/>
      <c r="K70" s="38">
        <v>130</v>
      </c>
      <c r="L70" s="39"/>
    </row>
    <row r="71" spans="1:13" s="48" customFormat="1" ht="12.75">
      <c r="A71" s="4258"/>
      <c r="B71" s="4304"/>
      <c r="C71" s="4315"/>
      <c r="D71" s="56">
        <v>4170</v>
      </c>
      <c r="E71" s="38">
        <f t="shared" ref="E71:E95" si="31">SUM(F71,L71)</f>
        <v>620</v>
      </c>
      <c r="F71" s="38">
        <f t="shared" ref="F71:F72" si="32">SUM(G71,J71,K71)</f>
        <v>620</v>
      </c>
      <c r="G71" s="38">
        <f t="shared" ref="G71:G72" si="33">SUM(H71:I71)</f>
        <v>620</v>
      </c>
      <c r="H71" s="38">
        <v>620</v>
      </c>
      <c r="I71" s="38"/>
      <c r="J71" s="38"/>
      <c r="K71" s="38"/>
      <c r="L71" s="39"/>
    </row>
    <row r="72" spans="1:13" s="48" customFormat="1" ht="12.75">
      <c r="A72" s="4258"/>
      <c r="B72" s="4304"/>
      <c r="C72" s="4315"/>
      <c r="D72" s="57">
        <v>4210</v>
      </c>
      <c r="E72" s="58">
        <f t="shared" si="31"/>
        <v>250</v>
      </c>
      <c r="F72" s="58">
        <f t="shared" si="32"/>
        <v>250</v>
      </c>
      <c r="G72" s="58">
        <f t="shared" si="33"/>
        <v>250</v>
      </c>
      <c r="H72" s="58"/>
      <c r="I72" s="58">
        <v>250</v>
      </c>
      <c r="J72" s="58"/>
      <c r="K72" s="58"/>
      <c r="L72" s="59"/>
      <c r="M72" s="47"/>
    </row>
    <row r="73" spans="1:13" ht="25.5" customHeight="1">
      <c r="A73" s="4263" t="s">
        <v>52</v>
      </c>
      <c r="B73" s="4302" t="s">
        <v>9</v>
      </c>
      <c r="C73" s="4302"/>
      <c r="D73" s="40"/>
      <c r="E73" s="41">
        <f t="shared" si="31"/>
        <v>1596000</v>
      </c>
      <c r="F73" s="41">
        <f>SUM(G73,J73,K73)</f>
        <v>1596000</v>
      </c>
      <c r="G73" s="41">
        <f>SUM(H73:I73)</f>
        <v>1591867</v>
      </c>
      <c r="H73" s="41">
        <f>SUM(H74)</f>
        <v>1309501</v>
      </c>
      <c r="I73" s="41">
        <f>SUM(I74)</f>
        <v>282366</v>
      </c>
      <c r="J73" s="41"/>
      <c r="K73" s="41">
        <f>SUM(K74)</f>
        <v>4133</v>
      </c>
      <c r="L73" s="42"/>
    </row>
    <row r="74" spans="1:13" ht="31.5" customHeight="1">
      <c r="A74" s="4258"/>
      <c r="B74" s="4303" t="s">
        <v>53</v>
      </c>
      <c r="C74" s="4306" t="s">
        <v>667</v>
      </c>
      <c r="D74" s="34" t="s">
        <v>66</v>
      </c>
      <c r="E74" s="35">
        <f t="shared" si="31"/>
        <v>1596000</v>
      </c>
      <c r="F74" s="35">
        <f>SUM(G74,J74,K74)</f>
        <v>1596000</v>
      </c>
      <c r="G74" s="35">
        <f>SUM(H74:I74)</f>
        <v>1591867</v>
      </c>
      <c r="H74" s="35">
        <f>SUM(H75:H95)</f>
        <v>1309501</v>
      </c>
      <c r="I74" s="35">
        <f>SUM(I75:I95)</f>
        <v>282366</v>
      </c>
      <c r="J74" s="35"/>
      <c r="K74" s="35">
        <f>SUM(K75:K95)</f>
        <v>4133</v>
      </c>
      <c r="L74" s="36"/>
      <c r="M74" s="9"/>
    </row>
    <row r="75" spans="1:13" ht="16.5" customHeight="1">
      <c r="A75" s="4258"/>
      <c r="B75" s="4304"/>
      <c r="C75" s="4307"/>
      <c r="D75" s="37">
        <v>3020</v>
      </c>
      <c r="E75" s="38">
        <f t="shared" si="31"/>
        <v>4133</v>
      </c>
      <c r="F75" s="38">
        <f>SUM(G75,J75,K75)</f>
        <v>4133</v>
      </c>
      <c r="G75" s="38"/>
      <c r="H75" s="38"/>
      <c r="I75" s="38"/>
      <c r="J75" s="38"/>
      <c r="K75" s="38">
        <v>4133</v>
      </c>
      <c r="L75" s="39"/>
      <c r="M75" s="9"/>
    </row>
    <row r="76" spans="1:13" ht="15" customHeight="1">
      <c r="A76" s="4258"/>
      <c r="B76" s="4304"/>
      <c r="C76" s="4307"/>
      <c r="D76" s="37">
        <v>4010</v>
      </c>
      <c r="E76" s="38">
        <f t="shared" si="31"/>
        <v>1005494</v>
      </c>
      <c r="F76" s="38">
        <f>SUM(G76,J76,K76)</f>
        <v>1005494</v>
      </c>
      <c r="G76" s="38">
        <f>SUM(H76:I76)</f>
        <v>1005494</v>
      </c>
      <c r="H76" s="38">
        <v>1005494</v>
      </c>
      <c r="I76" s="38"/>
      <c r="J76" s="38"/>
      <c r="K76" s="38"/>
      <c r="L76" s="39"/>
    </row>
    <row r="77" spans="1:13" ht="15" customHeight="1">
      <c r="A77" s="4258"/>
      <c r="B77" s="4304"/>
      <c r="C77" s="4307"/>
      <c r="D77" s="37">
        <v>4040</v>
      </c>
      <c r="E77" s="38">
        <f t="shared" si="31"/>
        <v>86963</v>
      </c>
      <c r="F77" s="38">
        <f t="shared" ref="F77:F95" si="34">SUM(G77,J77,K77)</f>
        <v>86963</v>
      </c>
      <c r="G77" s="38">
        <f t="shared" ref="G77:G95" si="35">SUM(H77:I77)</f>
        <v>86963</v>
      </c>
      <c r="H77" s="38">
        <v>86963</v>
      </c>
      <c r="I77" s="38"/>
      <c r="J77" s="38"/>
      <c r="K77" s="38"/>
      <c r="L77" s="39"/>
    </row>
    <row r="78" spans="1:13" ht="15" customHeight="1">
      <c r="A78" s="4258"/>
      <c r="B78" s="4304"/>
      <c r="C78" s="4307"/>
      <c r="D78" s="37">
        <v>4110</v>
      </c>
      <c r="E78" s="38">
        <f t="shared" si="31"/>
        <v>184831</v>
      </c>
      <c r="F78" s="38">
        <f t="shared" si="34"/>
        <v>184831</v>
      </c>
      <c r="G78" s="38">
        <f t="shared" si="35"/>
        <v>184831</v>
      </c>
      <c r="H78" s="38">
        <v>184831</v>
      </c>
      <c r="I78" s="38"/>
      <c r="J78" s="38"/>
      <c r="K78" s="38"/>
      <c r="L78" s="39"/>
    </row>
    <row r="79" spans="1:13" ht="15" customHeight="1">
      <c r="A79" s="4258"/>
      <c r="B79" s="4304"/>
      <c r="C79" s="4307"/>
      <c r="D79" s="37">
        <v>4120</v>
      </c>
      <c r="E79" s="38">
        <f t="shared" si="31"/>
        <v>26638</v>
      </c>
      <c r="F79" s="38">
        <f t="shared" si="34"/>
        <v>26638</v>
      </c>
      <c r="G79" s="38">
        <f t="shared" si="35"/>
        <v>26638</v>
      </c>
      <c r="H79" s="38">
        <v>26638</v>
      </c>
      <c r="I79" s="38"/>
      <c r="J79" s="38"/>
      <c r="K79" s="38"/>
      <c r="L79" s="39"/>
    </row>
    <row r="80" spans="1:13" ht="15" customHeight="1">
      <c r="A80" s="4258"/>
      <c r="B80" s="4304"/>
      <c r="C80" s="4307"/>
      <c r="D80" s="37">
        <v>4710</v>
      </c>
      <c r="E80" s="38">
        <f t="shared" si="31"/>
        <v>5575</v>
      </c>
      <c r="F80" s="38">
        <f t="shared" si="34"/>
        <v>5575</v>
      </c>
      <c r="G80" s="38">
        <f t="shared" si="35"/>
        <v>5575</v>
      </c>
      <c r="H80" s="38">
        <v>5575</v>
      </c>
      <c r="I80" s="38"/>
      <c r="J80" s="38"/>
      <c r="K80" s="38"/>
      <c r="L80" s="39"/>
    </row>
    <row r="81" spans="1:12" ht="15" customHeight="1">
      <c r="A81" s="4258"/>
      <c r="B81" s="4304"/>
      <c r="C81" s="4307"/>
      <c r="D81" s="37">
        <v>4140</v>
      </c>
      <c r="E81" s="38">
        <f t="shared" si="31"/>
        <v>3113</v>
      </c>
      <c r="F81" s="38">
        <f t="shared" si="34"/>
        <v>3113</v>
      </c>
      <c r="G81" s="38">
        <f t="shared" si="35"/>
        <v>3113</v>
      </c>
      <c r="H81" s="38"/>
      <c r="I81" s="38">
        <v>3113</v>
      </c>
      <c r="J81" s="38"/>
      <c r="K81" s="38"/>
      <c r="L81" s="39"/>
    </row>
    <row r="82" spans="1:12" ht="15" customHeight="1">
      <c r="A82" s="4258"/>
      <c r="B82" s="4304"/>
      <c r="C82" s="4307"/>
      <c r="D82" s="37">
        <v>4210</v>
      </c>
      <c r="E82" s="38">
        <f t="shared" si="31"/>
        <v>80339</v>
      </c>
      <c r="F82" s="38">
        <f t="shared" si="34"/>
        <v>80339</v>
      </c>
      <c r="G82" s="38">
        <f t="shared" si="35"/>
        <v>80339</v>
      </c>
      <c r="H82" s="38"/>
      <c r="I82" s="38">
        <v>80339</v>
      </c>
      <c r="J82" s="38"/>
      <c r="K82" s="38"/>
      <c r="L82" s="39"/>
    </row>
    <row r="83" spans="1:12" ht="15" customHeight="1">
      <c r="A83" s="4258"/>
      <c r="B83" s="4304"/>
      <c r="C83" s="4307"/>
      <c r="D83" s="37">
        <v>4220</v>
      </c>
      <c r="E83" s="38">
        <f t="shared" si="31"/>
        <v>4500</v>
      </c>
      <c r="F83" s="38">
        <f t="shared" si="34"/>
        <v>4500</v>
      </c>
      <c r="G83" s="38">
        <f t="shared" si="35"/>
        <v>4500</v>
      </c>
      <c r="H83" s="38"/>
      <c r="I83" s="38">
        <v>4500</v>
      </c>
      <c r="J83" s="38"/>
      <c r="K83" s="38"/>
      <c r="L83" s="39"/>
    </row>
    <row r="84" spans="1:12" s="103" customFormat="1" ht="15" customHeight="1">
      <c r="A84" s="4258"/>
      <c r="B84" s="4277"/>
      <c r="C84" s="4280"/>
      <c r="D84" s="104">
        <v>4240</v>
      </c>
      <c r="E84" s="105">
        <f t="shared" si="31"/>
        <v>4240</v>
      </c>
      <c r="F84" s="105">
        <f t="shared" si="34"/>
        <v>4240</v>
      </c>
      <c r="G84" s="105">
        <f t="shared" si="35"/>
        <v>4240</v>
      </c>
      <c r="H84" s="105"/>
      <c r="I84" s="105">
        <v>4240</v>
      </c>
      <c r="J84" s="105"/>
      <c r="K84" s="105"/>
      <c r="L84" s="106"/>
    </row>
    <row r="85" spans="1:12" ht="15" customHeight="1">
      <c r="A85" s="4258"/>
      <c r="B85" s="4304"/>
      <c r="C85" s="4307"/>
      <c r="D85" s="37">
        <v>4260</v>
      </c>
      <c r="E85" s="38">
        <f t="shared" si="31"/>
        <v>24040</v>
      </c>
      <c r="F85" s="38">
        <f t="shared" si="34"/>
        <v>24040</v>
      </c>
      <c r="G85" s="38">
        <f t="shared" si="35"/>
        <v>24040</v>
      </c>
      <c r="H85" s="38"/>
      <c r="I85" s="38">
        <v>24040</v>
      </c>
      <c r="J85" s="38"/>
      <c r="K85" s="38"/>
      <c r="L85" s="39"/>
    </row>
    <row r="86" spans="1:12" ht="15" customHeight="1">
      <c r="A86" s="4258"/>
      <c r="B86" s="4304"/>
      <c r="C86" s="4307"/>
      <c r="D86" s="37">
        <v>4270</v>
      </c>
      <c r="E86" s="38">
        <f t="shared" si="31"/>
        <v>9061</v>
      </c>
      <c r="F86" s="38">
        <f t="shared" si="34"/>
        <v>9061</v>
      </c>
      <c r="G86" s="38">
        <f t="shared" si="35"/>
        <v>9061</v>
      </c>
      <c r="H86" s="38"/>
      <c r="I86" s="38">
        <v>9061</v>
      </c>
      <c r="J86" s="38"/>
      <c r="K86" s="38"/>
      <c r="L86" s="39"/>
    </row>
    <row r="87" spans="1:12" ht="15" customHeight="1">
      <c r="A87" s="4258"/>
      <c r="B87" s="4304"/>
      <c r="C87" s="4307"/>
      <c r="D87" s="37">
        <v>4280</v>
      </c>
      <c r="E87" s="38">
        <f t="shared" si="31"/>
        <v>2110</v>
      </c>
      <c r="F87" s="38">
        <f t="shared" si="34"/>
        <v>2110</v>
      </c>
      <c r="G87" s="38">
        <f t="shared" si="35"/>
        <v>2110</v>
      </c>
      <c r="H87" s="38"/>
      <c r="I87" s="38">
        <v>2110</v>
      </c>
      <c r="J87" s="38"/>
      <c r="K87" s="38"/>
      <c r="L87" s="39"/>
    </row>
    <row r="88" spans="1:12" ht="15" customHeight="1">
      <c r="A88" s="4258"/>
      <c r="B88" s="4304"/>
      <c r="C88" s="4307"/>
      <c r="D88" s="37">
        <v>4300</v>
      </c>
      <c r="E88" s="38">
        <f t="shared" si="31"/>
        <v>75957</v>
      </c>
      <c r="F88" s="38">
        <f t="shared" si="34"/>
        <v>75957</v>
      </c>
      <c r="G88" s="38">
        <f t="shared" si="35"/>
        <v>75957</v>
      </c>
      <c r="H88" s="38"/>
      <c r="I88" s="38">
        <v>75957</v>
      </c>
      <c r="J88" s="38"/>
      <c r="K88" s="38"/>
      <c r="L88" s="39"/>
    </row>
    <row r="89" spans="1:12" ht="15" customHeight="1">
      <c r="A89" s="4258"/>
      <c r="B89" s="4304"/>
      <c r="C89" s="4307"/>
      <c r="D89" s="37">
        <v>4360</v>
      </c>
      <c r="E89" s="38">
        <f t="shared" si="31"/>
        <v>4601</v>
      </c>
      <c r="F89" s="38">
        <f t="shared" si="34"/>
        <v>4601</v>
      </c>
      <c r="G89" s="38">
        <f t="shared" si="35"/>
        <v>4601</v>
      </c>
      <c r="H89" s="38"/>
      <c r="I89" s="38">
        <v>4601</v>
      </c>
      <c r="J89" s="38"/>
      <c r="K89" s="38"/>
      <c r="L89" s="39"/>
    </row>
    <row r="90" spans="1:12" ht="15" customHeight="1">
      <c r="A90" s="4258"/>
      <c r="B90" s="4304"/>
      <c r="C90" s="4307"/>
      <c r="D90" s="37">
        <v>4410</v>
      </c>
      <c r="E90" s="38">
        <f t="shared" si="31"/>
        <v>6804</v>
      </c>
      <c r="F90" s="38">
        <f t="shared" si="34"/>
        <v>6804</v>
      </c>
      <c r="G90" s="38">
        <f t="shared" si="35"/>
        <v>6804</v>
      </c>
      <c r="H90" s="38"/>
      <c r="I90" s="38">
        <v>6804</v>
      </c>
      <c r="J90" s="38"/>
      <c r="K90" s="38"/>
      <c r="L90" s="39"/>
    </row>
    <row r="91" spans="1:12" s="103" customFormat="1" ht="15" customHeight="1">
      <c r="A91" s="4258"/>
      <c r="B91" s="4277"/>
      <c r="C91" s="4280"/>
      <c r="D91" s="104">
        <v>4430</v>
      </c>
      <c r="E91" s="105">
        <f t="shared" si="31"/>
        <v>3319</v>
      </c>
      <c r="F91" s="105">
        <f t="shared" si="34"/>
        <v>3319</v>
      </c>
      <c r="G91" s="105">
        <f t="shared" si="35"/>
        <v>3319</v>
      </c>
      <c r="H91" s="105"/>
      <c r="I91" s="105">
        <v>3319</v>
      </c>
      <c r="J91" s="105"/>
      <c r="K91" s="105"/>
      <c r="L91" s="106"/>
    </row>
    <row r="92" spans="1:12" ht="15" customHeight="1">
      <c r="A92" s="4258"/>
      <c r="B92" s="4304"/>
      <c r="C92" s="4307"/>
      <c r="D92" s="37">
        <v>4440</v>
      </c>
      <c r="E92" s="38">
        <f t="shared" si="31"/>
        <v>31597</v>
      </c>
      <c r="F92" s="38">
        <f t="shared" si="34"/>
        <v>31597</v>
      </c>
      <c r="G92" s="38">
        <f t="shared" si="35"/>
        <v>31597</v>
      </c>
      <c r="H92" s="38"/>
      <c r="I92" s="38">
        <v>31597</v>
      </c>
      <c r="J92" s="38"/>
      <c r="K92" s="38"/>
      <c r="L92" s="39"/>
    </row>
    <row r="93" spans="1:12" ht="15" customHeight="1">
      <c r="A93" s="4258"/>
      <c r="B93" s="4304"/>
      <c r="C93" s="4307"/>
      <c r="D93" s="37">
        <v>4480</v>
      </c>
      <c r="E93" s="38">
        <f t="shared" si="31"/>
        <v>4234</v>
      </c>
      <c r="F93" s="38">
        <f t="shared" si="34"/>
        <v>4234</v>
      </c>
      <c r="G93" s="38">
        <f t="shared" si="35"/>
        <v>4234</v>
      </c>
      <c r="H93" s="38"/>
      <c r="I93" s="38">
        <v>4234</v>
      </c>
      <c r="J93" s="38"/>
      <c r="K93" s="38"/>
      <c r="L93" s="39"/>
    </row>
    <row r="94" spans="1:12" ht="15" customHeight="1">
      <c r="A94" s="4258"/>
      <c r="B94" s="4304"/>
      <c r="C94" s="4307"/>
      <c r="D94" s="37">
        <v>4520</v>
      </c>
      <c r="E94" s="38">
        <f t="shared" si="31"/>
        <v>3851</v>
      </c>
      <c r="F94" s="38">
        <f t="shared" si="34"/>
        <v>3851</v>
      </c>
      <c r="G94" s="38">
        <f t="shared" si="35"/>
        <v>3851</v>
      </c>
      <c r="H94" s="38"/>
      <c r="I94" s="38">
        <v>3851</v>
      </c>
      <c r="J94" s="38"/>
      <c r="K94" s="38"/>
      <c r="L94" s="39"/>
    </row>
    <row r="95" spans="1:12" ht="15" customHeight="1" thickBot="1">
      <c r="A95" s="4316"/>
      <c r="B95" s="4317"/>
      <c r="C95" s="4318"/>
      <c r="D95" s="60">
        <v>4700</v>
      </c>
      <c r="E95" s="61">
        <f t="shared" si="31"/>
        <v>24600</v>
      </c>
      <c r="F95" s="61">
        <f t="shared" si="34"/>
        <v>24600</v>
      </c>
      <c r="G95" s="61">
        <f t="shared" si="35"/>
        <v>24600</v>
      </c>
      <c r="H95" s="61"/>
      <c r="I95" s="61">
        <v>24600</v>
      </c>
      <c r="J95" s="61"/>
      <c r="K95" s="61"/>
      <c r="L95" s="62"/>
    </row>
    <row r="96" spans="1:12" ht="35.1" customHeight="1" thickBot="1">
      <c r="A96" s="4319" t="s">
        <v>68</v>
      </c>
      <c r="B96" s="4320"/>
      <c r="C96" s="4320"/>
      <c r="D96" s="63"/>
      <c r="E96" s="64">
        <f t="shared" ref="E96:L96" si="36">SUM(E68,E73,E61,E34,E28,E12,E6,E23,E57)</f>
        <v>78206691</v>
      </c>
      <c r="F96" s="64">
        <f t="shared" si="36"/>
        <v>78056691</v>
      </c>
      <c r="G96" s="64">
        <f>SUM(G68,G73,G61,G34,G28,G12,G6,G23,G57)</f>
        <v>26172428</v>
      </c>
      <c r="H96" s="64">
        <f t="shared" si="36"/>
        <v>2576591</v>
      </c>
      <c r="I96" s="64">
        <f t="shared" si="36"/>
        <v>23595837</v>
      </c>
      <c r="J96" s="64">
        <f>SUM(J68,J73,J61,J34,J28,J12,J6,J23,J57)</f>
        <v>51873000</v>
      </c>
      <c r="K96" s="64">
        <f t="shared" si="36"/>
        <v>11263</v>
      </c>
      <c r="L96" s="24">
        <f t="shared" si="36"/>
        <v>150000</v>
      </c>
    </row>
    <row r="97" spans="1:12" ht="12.75">
      <c r="A97" s="65"/>
      <c r="B97" s="66"/>
      <c r="E97" s="9"/>
      <c r="F97" s="9"/>
      <c r="G97" s="9"/>
      <c r="H97" s="9"/>
      <c r="I97" s="9"/>
      <c r="J97" s="9"/>
      <c r="K97" s="9"/>
      <c r="L97" s="9"/>
    </row>
    <row r="98" spans="1:12" ht="12.75">
      <c r="A98" s="65"/>
      <c r="B98" s="66"/>
      <c r="E98" s="9"/>
      <c r="F98" s="9"/>
      <c r="G98" s="9"/>
      <c r="H98" s="9"/>
      <c r="I98" s="9"/>
      <c r="J98" s="9"/>
      <c r="K98" s="9"/>
      <c r="L98" s="9"/>
    </row>
    <row r="99" spans="1:12" ht="12.75">
      <c r="A99" s="65"/>
      <c r="B99" s="66"/>
      <c r="E99" s="9"/>
      <c r="F99" s="9"/>
      <c r="G99" s="9"/>
      <c r="H99" s="9"/>
      <c r="I99" s="9"/>
      <c r="J99" s="9"/>
      <c r="K99" s="9"/>
      <c r="L99" s="9"/>
    </row>
    <row r="100" spans="1:12" ht="12.75">
      <c r="A100" s="65"/>
      <c r="B100" s="66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65"/>
      <c r="B101" s="66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4311"/>
      <c r="B102" s="4312"/>
      <c r="C102" s="4312"/>
      <c r="D102" s="4312"/>
      <c r="E102" s="4312"/>
      <c r="F102" s="4312"/>
      <c r="G102" s="4312"/>
      <c r="H102" s="4312"/>
      <c r="I102" s="4312"/>
      <c r="J102" s="4312"/>
      <c r="K102" s="4312"/>
      <c r="L102" s="4312"/>
    </row>
    <row r="103" spans="1:12" ht="12.75">
      <c r="A103" s="65"/>
      <c r="B103" s="66"/>
      <c r="F103" s="9"/>
      <c r="G103" s="9"/>
      <c r="H103" s="9"/>
      <c r="I103" s="9"/>
      <c r="J103" s="9"/>
      <c r="K103" s="9"/>
      <c r="L103" s="9"/>
    </row>
    <row r="104" spans="1:12" ht="12.75">
      <c r="A104" s="65"/>
      <c r="B104" s="66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65"/>
      <c r="B105" s="66"/>
      <c r="F105" s="9"/>
      <c r="G105" s="9"/>
      <c r="H105" s="9"/>
      <c r="I105" s="9"/>
      <c r="J105" s="9"/>
      <c r="K105" s="9"/>
      <c r="L105" s="9"/>
    </row>
    <row r="106" spans="1:12" ht="12.75">
      <c r="A106" s="65"/>
      <c r="B106" s="66"/>
      <c r="F106" s="9"/>
      <c r="G106" s="9"/>
      <c r="H106" s="9"/>
      <c r="I106" s="9"/>
      <c r="J106" s="9"/>
      <c r="K106" s="9"/>
      <c r="L106" s="9"/>
    </row>
    <row r="107" spans="1:12" ht="12.75">
      <c r="A107" s="65"/>
      <c r="B107" s="66"/>
      <c r="F107" s="9"/>
      <c r="G107" s="9"/>
      <c r="H107" s="9"/>
      <c r="I107" s="9"/>
      <c r="J107" s="9"/>
      <c r="K107" s="9"/>
      <c r="L107" s="9"/>
    </row>
    <row r="108" spans="1:12" ht="12.75">
      <c r="A108" s="65"/>
      <c r="B108" s="66"/>
      <c r="F108" s="9"/>
      <c r="G108" s="9"/>
      <c r="H108" s="9"/>
      <c r="I108" s="9"/>
      <c r="J108" s="9"/>
      <c r="K108" s="9"/>
      <c r="L108" s="9"/>
    </row>
    <row r="109" spans="1:12" ht="12.75">
      <c r="A109" s="65"/>
      <c r="B109" s="66"/>
      <c r="F109" s="9"/>
      <c r="G109" s="9"/>
      <c r="H109" s="9"/>
      <c r="I109" s="9"/>
      <c r="J109" s="9"/>
      <c r="K109" s="9"/>
      <c r="L109" s="9"/>
    </row>
    <row r="110" spans="1:12" ht="12.75">
      <c r="A110" s="67"/>
      <c r="B110" s="66"/>
      <c r="F110" s="9"/>
      <c r="G110" s="9"/>
      <c r="H110" s="9"/>
      <c r="I110" s="9"/>
      <c r="J110" s="9"/>
      <c r="K110" s="9"/>
      <c r="L110" s="9"/>
    </row>
    <row r="111" spans="1:12" ht="12.75">
      <c r="A111" s="67"/>
      <c r="B111" s="66"/>
      <c r="F111" s="9"/>
      <c r="G111" s="9"/>
      <c r="H111" s="9"/>
      <c r="I111" s="9"/>
      <c r="J111" s="9"/>
      <c r="K111" s="9"/>
      <c r="L111" s="9"/>
    </row>
    <row r="112" spans="1:12" ht="12.75">
      <c r="A112" s="67"/>
      <c r="B112" s="66"/>
      <c r="F112" s="9"/>
      <c r="G112" s="9"/>
      <c r="H112" s="9"/>
      <c r="I112" s="9"/>
      <c r="J112" s="9"/>
      <c r="K112" s="9"/>
      <c r="L112" s="9"/>
    </row>
    <row r="113" spans="1:12" ht="12.75">
      <c r="A113" s="67"/>
      <c r="B113" s="66"/>
      <c r="F113" s="9"/>
      <c r="G113" s="9"/>
      <c r="H113" s="9"/>
      <c r="I113" s="9"/>
      <c r="J113" s="9"/>
      <c r="K113" s="9"/>
      <c r="L113" s="9"/>
    </row>
    <row r="114" spans="1:12" ht="12.75">
      <c r="A114" s="67"/>
      <c r="B114" s="66"/>
      <c r="F114" s="9"/>
      <c r="G114" s="9"/>
      <c r="H114" s="9"/>
      <c r="I114" s="9"/>
      <c r="J114" s="9"/>
      <c r="K114" s="9"/>
      <c r="L114" s="9"/>
    </row>
    <row r="115" spans="1:12" ht="12.75">
      <c r="A115" s="67"/>
      <c r="B115" s="66"/>
      <c r="F115" s="9"/>
      <c r="G115" s="9"/>
      <c r="H115" s="9"/>
      <c r="I115" s="9"/>
      <c r="J115" s="9"/>
      <c r="K115" s="9"/>
      <c r="L115" s="9"/>
    </row>
    <row r="116" spans="1:12" ht="12.75">
      <c r="A116" s="67"/>
      <c r="B116" s="66"/>
      <c r="F116" s="9"/>
      <c r="G116" s="9"/>
      <c r="H116" s="9"/>
      <c r="I116" s="9"/>
      <c r="J116" s="9"/>
      <c r="K116" s="9"/>
      <c r="L116" s="9"/>
    </row>
    <row r="117" spans="1:12" ht="12.75">
      <c r="A117" s="67"/>
      <c r="B117" s="66"/>
      <c r="F117" s="9"/>
      <c r="G117" s="9"/>
      <c r="H117" s="9"/>
      <c r="I117" s="9"/>
      <c r="J117" s="9"/>
      <c r="K117" s="9"/>
      <c r="L117" s="9"/>
    </row>
    <row r="118" spans="1:12" ht="12.75">
      <c r="A118" s="67"/>
      <c r="B118" s="66"/>
      <c r="F118" s="9"/>
      <c r="G118" s="9"/>
      <c r="H118" s="9"/>
      <c r="I118" s="9"/>
      <c r="J118" s="9"/>
      <c r="K118" s="9"/>
      <c r="L118" s="9"/>
    </row>
    <row r="119" spans="1:12" ht="12.75">
      <c r="A119" s="67"/>
      <c r="B119" s="66"/>
      <c r="F119" s="9"/>
      <c r="G119" s="9"/>
      <c r="H119" s="9"/>
      <c r="I119" s="9"/>
      <c r="J119" s="9"/>
      <c r="K119" s="9"/>
      <c r="L119" s="9"/>
    </row>
    <row r="120" spans="1:12" ht="12.75">
      <c r="A120" s="67"/>
      <c r="B120" s="66"/>
      <c r="F120" s="9"/>
      <c r="G120" s="9"/>
      <c r="H120" s="9"/>
      <c r="I120" s="9"/>
      <c r="J120" s="9"/>
      <c r="K120" s="9"/>
      <c r="L120" s="9"/>
    </row>
    <row r="121" spans="1:12" ht="12.75">
      <c r="A121" s="67"/>
      <c r="B121" s="66"/>
      <c r="F121" s="9"/>
      <c r="G121" s="9"/>
      <c r="H121" s="9"/>
      <c r="I121" s="9"/>
      <c r="J121" s="9"/>
      <c r="K121" s="9"/>
      <c r="L121" s="9"/>
    </row>
    <row r="122" spans="1:12" ht="12.75">
      <c r="A122" s="67"/>
      <c r="B122" s="66"/>
      <c r="F122" s="9"/>
      <c r="G122" s="9"/>
      <c r="H122" s="9"/>
      <c r="I122" s="9"/>
      <c r="J122" s="9"/>
      <c r="K122" s="9"/>
      <c r="L122" s="9"/>
    </row>
    <row r="123" spans="1:12" ht="12.75">
      <c r="A123" s="67"/>
      <c r="B123" s="66"/>
      <c r="F123" s="9"/>
      <c r="G123" s="9"/>
      <c r="H123" s="9"/>
      <c r="I123" s="9"/>
      <c r="J123" s="9"/>
      <c r="K123" s="9"/>
      <c r="L123" s="9"/>
    </row>
    <row r="124" spans="1:12" ht="12.75">
      <c r="A124" s="67"/>
      <c r="B124" s="66"/>
      <c r="F124" s="9"/>
      <c r="G124" s="9"/>
      <c r="H124" s="9"/>
      <c r="I124" s="9"/>
      <c r="J124" s="9"/>
      <c r="K124" s="9"/>
      <c r="L124" s="9"/>
    </row>
    <row r="125" spans="1:12" ht="12.75">
      <c r="A125" s="67"/>
      <c r="B125" s="66"/>
      <c r="F125" s="9"/>
      <c r="G125" s="9"/>
      <c r="H125" s="9"/>
      <c r="I125" s="9"/>
      <c r="J125" s="9"/>
      <c r="K125" s="9"/>
      <c r="L125" s="9"/>
    </row>
    <row r="126" spans="1:12" ht="12.75">
      <c r="A126" s="67"/>
    </row>
    <row r="127" spans="1:12" ht="12.75">
      <c r="A127" s="67"/>
    </row>
    <row r="128" spans="1:12" ht="12.75">
      <c r="A128" s="67"/>
    </row>
    <row r="129" spans="1:13" ht="12.75">
      <c r="A129" s="67"/>
    </row>
    <row r="130" spans="1:13" ht="12.75">
      <c r="A130" s="67"/>
    </row>
    <row r="131" spans="1:13" s="68" customFormat="1" ht="12.75">
      <c r="A131" s="6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s="68" customFormat="1" ht="12.75">
      <c r="A132" s="6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s="68" customFormat="1" ht="12.75">
      <c r="A133" s="6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s="68" customFormat="1" ht="12.75">
      <c r="A134" s="6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s="68" customFormat="1" ht="12.75">
      <c r="A135" s="6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s="68" customFormat="1" ht="12.75">
      <c r="A136" s="6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s="68" customFormat="1" ht="12.75">
      <c r="A137" s="6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s="68" customFormat="1" ht="12.75">
      <c r="A138" s="6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s="68" customFormat="1" ht="12.75">
      <c r="A139" s="6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s="68" customFormat="1" ht="12.75">
      <c r="A140" s="6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s="68" customFormat="1" ht="12.75">
      <c r="A141" s="6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s="68" customFormat="1" ht="12.75">
      <c r="A142" s="6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s="68" customFormat="1" ht="12.75">
      <c r="A143" s="6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s="68" customFormat="1" ht="12.75">
      <c r="A144" s="6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s="68" customFormat="1" ht="12.75">
      <c r="A145" s="6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s="68" customFormat="1" ht="12.75">
      <c r="A146" s="6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s="68" customFormat="1" ht="12.75">
      <c r="A147" s="6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s="68" customFormat="1" ht="12.75">
      <c r="A148" s="6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s="68" customFormat="1" ht="12.75">
      <c r="A149" s="67"/>
      <c r="C149" s="8" t="s">
        <v>20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s="68" customFormat="1" ht="12.75">
      <c r="A150" s="6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s="68" customFormat="1" ht="12.75">
      <c r="A151" s="6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s="68" customFormat="1" ht="12.75">
      <c r="A152" s="6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s="68" customFormat="1" ht="12.75">
      <c r="A153" s="6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s="68" customFormat="1" ht="12.75">
      <c r="A154" s="6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s="68" customFormat="1" ht="12.75">
      <c r="A155" s="6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s="68" customFormat="1" ht="12.75">
      <c r="A156" s="6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s="68" customFormat="1" ht="12.75">
      <c r="A157" s="6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s="68" customFormat="1" ht="12.75">
      <c r="A158" s="6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s="68" customFormat="1" ht="12.75">
      <c r="A159" s="6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s="68" customFormat="1" ht="12.75">
      <c r="A160" s="6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s="68" customFormat="1" ht="12.75">
      <c r="A161" s="6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s="68" customFormat="1" ht="12.75">
      <c r="A162" s="6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s="68" customFormat="1" ht="12.75">
      <c r="A163" s="6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s="68" customFormat="1" ht="12.75">
      <c r="A164" s="6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s="68" customFormat="1" ht="12.75">
      <c r="A165" s="6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s="68" customFormat="1" ht="12.75">
      <c r="A166" s="6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s="68" customFormat="1" ht="12.75">
      <c r="A167" s="6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s="68" customFormat="1" ht="12.75">
      <c r="A168" s="6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234" spans="5:5">
      <c r="E234" s="69">
        <f>115000000+12000000</f>
        <v>127000000</v>
      </c>
    </row>
    <row r="342" spans="5:5">
      <c r="E342" s="69"/>
    </row>
    <row r="542" spans="17:17">
      <c r="Q542" s="8">
        <f>P542-O542</f>
        <v>0</v>
      </c>
    </row>
  </sheetData>
  <mergeCells count="58">
    <mergeCell ref="A102:L102"/>
    <mergeCell ref="A61:A67"/>
    <mergeCell ref="B61:C61"/>
    <mergeCell ref="B65:B67"/>
    <mergeCell ref="C65:C67"/>
    <mergeCell ref="A68:A72"/>
    <mergeCell ref="B68:C68"/>
    <mergeCell ref="B69:B72"/>
    <mergeCell ref="C69:C72"/>
    <mergeCell ref="A73:A95"/>
    <mergeCell ref="B73:C73"/>
    <mergeCell ref="B74:B95"/>
    <mergeCell ref="C74:C95"/>
    <mergeCell ref="A96:C96"/>
    <mergeCell ref="A34:A56"/>
    <mergeCell ref="B34:C34"/>
    <mergeCell ref="B35:B38"/>
    <mergeCell ref="C35:C38"/>
    <mergeCell ref="B39:B44"/>
    <mergeCell ref="C39:C44"/>
    <mergeCell ref="B45:B56"/>
    <mergeCell ref="C45:C56"/>
    <mergeCell ref="A23:A27"/>
    <mergeCell ref="B23:C23"/>
    <mergeCell ref="B24:B27"/>
    <mergeCell ref="C24:C27"/>
    <mergeCell ref="A28:A33"/>
    <mergeCell ref="B28:C28"/>
    <mergeCell ref="B29:B33"/>
    <mergeCell ref="C29:C33"/>
    <mergeCell ref="J4:J5"/>
    <mergeCell ref="K4:K5"/>
    <mergeCell ref="B6:C6"/>
    <mergeCell ref="A12:A22"/>
    <mergeCell ref="B12:C12"/>
    <mergeCell ref="B13:B17"/>
    <mergeCell ref="C13:C17"/>
    <mergeCell ref="B18:B22"/>
    <mergeCell ref="C18:C22"/>
    <mergeCell ref="C7:C11"/>
    <mergeCell ref="B7:B11"/>
    <mergeCell ref="A6:A11"/>
    <mergeCell ref="B57:C57"/>
    <mergeCell ref="A57:A60"/>
    <mergeCell ref="B58:B60"/>
    <mergeCell ref="C58:C60"/>
    <mergeCell ref="A1:L1"/>
    <mergeCell ref="A2:L2"/>
    <mergeCell ref="A3:A5"/>
    <mergeCell ref="B3:B5"/>
    <mergeCell ref="C3:C5"/>
    <mergeCell ref="D3:D5"/>
    <mergeCell ref="E3:E5"/>
    <mergeCell ref="F3:F5"/>
    <mergeCell ref="G3:K3"/>
    <mergeCell ref="L3:L5"/>
    <mergeCell ref="G4:G5"/>
    <mergeCell ref="H4:I4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65" orientation="portrait" r:id="rId1"/>
  <headerFooter>
    <oddFooter>Strona &amp;P z &amp;N</oddFooter>
  </headerFooter>
  <rowBreaks count="1" manualBreakCount="1">
    <brk id="60" max="11" man="1"/>
  </rowBreaks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Q534"/>
  <sheetViews>
    <sheetView view="pageBreakPreview" zoomScaleNormal="75" zoomScaleSheetLayoutView="100" workbookViewId="0">
      <selection activeCell="J2" sqref="J2"/>
    </sheetView>
  </sheetViews>
  <sheetFormatPr defaultRowHeight="15.75"/>
  <cols>
    <col min="1" max="1" width="8.140625" style="70" customWidth="1"/>
    <col min="2" max="2" width="10.42578125" style="70" customWidth="1"/>
    <col min="3" max="3" width="9.42578125" style="68" customWidth="1"/>
    <col min="4" max="4" width="36.5703125" style="8" customWidth="1"/>
    <col min="5" max="5" width="12.140625" style="8" bestFit="1" customWidth="1"/>
    <col min="6" max="6" width="15.7109375" style="8" customWidth="1"/>
    <col min="7" max="7" width="16.5703125" style="8" customWidth="1"/>
    <col min="8" max="16384" width="9.140625" style="8"/>
  </cols>
  <sheetData>
    <row r="1" spans="1:11" ht="57" customHeight="1">
      <c r="A1" s="71"/>
      <c r="B1" s="71"/>
      <c r="C1" s="72"/>
      <c r="D1" s="73"/>
      <c r="E1" s="4321" t="s">
        <v>1462</v>
      </c>
      <c r="F1" s="4321"/>
      <c r="G1" s="4321"/>
    </row>
    <row r="2" spans="1:11" ht="84.75" customHeight="1" thickBot="1">
      <c r="A2" s="4099" t="s">
        <v>69</v>
      </c>
      <c r="B2" s="4099"/>
      <c r="C2" s="4099"/>
      <c r="D2" s="4099"/>
      <c r="E2" s="4099"/>
      <c r="F2" s="4099"/>
      <c r="G2" s="4099"/>
    </row>
    <row r="3" spans="1:11" ht="35.25" customHeight="1">
      <c r="A3" s="4322" t="s">
        <v>0</v>
      </c>
      <c r="B3" s="4324" t="s">
        <v>30</v>
      </c>
      <c r="C3" s="4324" t="s">
        <v>2</v>
      </c>
      <c r="D3" s="4326" t="s">
        <v>31</v>
      </c>
      <c r="E3" s="4328" t="s">
        <v>70</v>
      </c>
      <c r="F3" s="4329" t="s">
        <v>71</v>
      </c>
      <c r="G3" s="4330"/>
    </row>
    <row r="4" spans="1:11" ht="28.5" customHeight="1" thickBot="1">
      <c r="A4" s="4323"/>
      <c r="B4" s="4325"/>
      <c r="C4" s="4325"/>
      <c r="D4" s="4327"/>
      <c r="E4" s="4325"/>
      <c r="F4" s="74" t="s">
        <v>72</v>
      </c>
      <c r="G4" s="75" t="s">
        <v>73</v>
      </c>
    </row>
    <row r="5" spans="1:11" ht="31.5" customHeight="1" thickBot="1">
      <c r="A5" s="4331" t="s">
        <v>12</v>
      </c>
      <c r="B5" s="4334" t="s">
        <v>13</v>
      </c>
      <c r="C5" s="4335"/>
      <c r="D5" s="4336"/>
      <c r="E5" s="76">
        <f>SUM(E6)</f>
        <v>30526</v>
      </c>
      <c r="F5" s="77">
        <f>SUM(F6)</f>
        <v>29000</v>
      </c>
      <c r="G5" s="78">
        <f>SUM(G6)</f>
        <v>1526</v>
      </c>
    </row>
    <row r="6" spans="1:11" ht="29.25" customHeight="1">
      <c r="A6" s="4332"/>
      <c r="B6" s="4337" t="s">
        <v>14</v>
      </c>
      <c r="C6" s="4340" t="s">
        <v>11</v>
      </c>
      <c r="D6" s="4341"/>
      <c r="E6" s="79">
        <f>SUM(E7:E8)</f>
        <v>30526</v>
      </c>
      <c r="F6" s="80">
        <f>SUM(F7:F8)</f>
        <v>29000</v>
      </c>
      <c r="G6" s="81">
        <f>SUM(G7:G8)</f>
        <v>1526</v>
      </c>
    </row>
    <row r="7" spans="1:11" ht="27.75" customHeight="1">
      <c r="A7" s="4332"/>
      <c r="B7" s="4338"/>
      <c r="C7" s="82">
        <v>2350</v>
      </c>
      <c r="D7" s="83"/>
      <c r="E7" s="84">
        <f>F7+G7</f>
        <v>29000</v>
      </c>
      <c r="F7" s="85">
        <v>29000</v>
      </c>
      <c r="G7" s="86"/>
    </row>
    <row r="8" spans="1:11" ht="27.75" customHeight="1" thickBot="1">
      <c r="A8" s="4333"/>
      <c r="B8" s="4339"/>
      <c r="C8" s="87">
        <v>2360</v>
      </c>
      <c r="D8" s="88"/>
      <c r="E8" s="84">
        <f>F8+G8</f>
        <v>1526</v>
      </c>
      <c r="F8" s="89"/>
      <c r="G8" s="90">
        <v>1526</v>
      </c>
    </row>
    <row r="9" spans="1:11" ht="31.5" customHeight="1" thickBot="1">
      <c r="A9" s="4331" t="s">
        <v>33</v>
      </c>
      <c r="B9" s="4334" t="s">
        <v>8</v>
      </c>
      <c r="C9" s="4335"/>
      <c r="D9" s="4336"/>
      <c r="E9" s="76">
        <f>E10</f>
        <v>168421</v>
      </c>
      <c r="F9" s="77">
        <f>SUM(F10)</f>
        <v>160000</v>
      </c>
      <c r="G9" s="78">
        <f>SUM(G10)</f>
        <v>8421</v>
      </c>
    </row>
    <row r="10" spans="1:11" ht="29.25" customHeight="1">
      <c r="A10" s="4332"/>
      <c r="B10" s="4337" t="s">
        <v>35</v>
      </c>
      <c r="C10" s="4340" t="s">
        <v>11</v>
      </c>
      <c r="D10" s="4341"/>
      <c r="E10" s="79">
        <f>SUM(E11:E12)</f>
        <v>168421</v>
      </c>
      <c r="F10" s="80">
        <f>SUM(F11:F12)</f>
        <v>160000</v>
      </c>
      <c r="G10" s="81">
        <f>SUM(G11:G12)</f>
        <v>8421</v>
      </c>
    </row>
    <row r="11" spans="1:11" ht="27.75" customHeight="1">
      <c r="A11" s="4332"/>
      <c r="B11" s="4338"/>
      <c r="C11" s="82">
        <v>2350</v>
      </c>
      <c r="D11" s="83"/>
      <c r="E11" s="84">
        <f>F11+G11</f>
        <v>160000</v>
      </c>
      <c r="F11" s="85">
        <v>160000</v>
      </c>
      <c r="G11" s="86"/>
    </row>
    <row r="12" spans="1:11" ht="27.75" customHeight="1" thickBot="1">
      <c r="A12" s="4333"/>
      <c r="B12" s="4339"/>
      <c r="C12" s="87">
        <v>2360</v>
      </c>
      <c r="D12" s="88"/>
      <c r="E12" s="84">
        <f>F12+G12</f>
        <v>8421</v>
      </c>
      <c r="F12" s="89"/>
      <c r="G12" s="90">
        <v>8421</v>
      </c>
    </row>
    <row r="13" spans="1:11" ht="33.75" customHeight="1" thickBot="1">
      <c r="A13" s="4331" t="s">
        <v>38</v>
      </c>
      <c r="B13" s="4334" t="s">
        <v>74</v>
      </c>
      <c r="C13" s="4335"/>
      <c r="D13" s="4336"/>
      <c r="E13" s="76">
        <f>SUM(E14)</f>
        <v>3158</v>
      </c>
      <c r="F13" s="77">
        <f>SUM(F14)</f>
        <v>3000</v>
      </c>
      <c r="G13" s="78">
        <f>SUM(G14)</f>
        <v>158</v>
      </c>
    </row>
    <row r="14" spans="1:11" ht="27.75" customHeight="1">
      <c r="A14" s="4332"/>
      <c r="B14" s="4337" t="s">
        <v>75</v>
      </c>
      <c r="C14" s="4340" t="s">
        <v>18</v>
      </c>
      <c r="D14" s="4341"/>
      <c r="E14" s="79">
        <f>E15+E16</f>
        <v>3158</v>
      </c>
      <c r="F14" s="80">
        <f>SUM(F15:F16)</f>
        <v>3000</v>
      </c>
      <c r="G14" s="81">
        <f>SUM(G15:G16)</f>
        <v>158</v>
      </c>
      <c r="K14" s="9"/>
    </row>
    <row r="15" spans="1:11" ht="29.25" customHeight="1">
      <c r="A15" s="4332"/>
      <c r="B15" s="4338"/>
      <c r="C15" s="82">
        <v>2350</v>
      </c>
      <c r="D15" s="83"/>
      <c r="E15" s="84">
        <f>F15+G15</f>
        <v>3000</v>
      </c>
      <c r="F15" s="85">
        <v>3000</v>
      </c>
      <c r="G15" s="86"/>
    </row>
    <row r="16" spans="1:11" ht="29.25" customHeight="1" thickBot="1">
      <c r="A16" s="4333"/>
      <c r="B16" s="4339"/>
      <c r="C16" s="91">
        <v>2360</v>
      </c>
      <c r="D16" s="92"/>
      <c r="E16" s="84">
        <f>F16+G16</f>
        <v>158</v>
      </c>
      <c r="F16" s="89"/>
      <c r="G16" s="90">
        <v>158</v>
      </c>
    </row>
    <row r="17" spans="1:7" ht="33.75" customHeight="1" thickBot="1">
      <c r="A17" s="4331" t="s">
        <v>40</v>
      </c>
      <c r="B17" s="4334" t="s">
        <v>4</v>
      </c>
      <c r="C17" s="4335"/>
      <c r="D17" s="4336"/>
      <c r="E17" s="76">
        <f>E18+E21</f>
        <v>36842</v>
      </c>
      <c r="F17" s="77">
        <f>SUM(F18+F21)</f>
        <v>35000</v>
      </c>
      <c r="G17" s="78">
        <f>SUM(G18+G21)</f>
        <v>1842</v>
      </c>
    </row>
    <row r="18" spans="1:7" ht="27" customHeight="1">
      <c r="A18" s="4332"/>
      <c r="B18" s="4337" t="s">
        <v>41</v>
      </c>
      <c r="C18" s="4340" t="s">
        <v>21</v>
      </c>
      <c r="D18" s="4341"/>
      <c r="E18" s="79">
        <f>SUM(E19:E20)</f>
        <v>10526</v>
      </c>
      <c r="F18" s="80">
        <f>SUM(F19:F20)</f>
        <v>10000</v>
      </c>
      <c r="G18" s="81">
        <f>SUM(G19:G20)</f>
        <v>526</v>
      </c>
    </row>
    <row r="19" spans="1:7" ht="29.25" customHeight="1">
      <c r="A19" s="4332"/>
      <c r="B19" s="4338"/>
      <c r="C19" s="82">
        <v>2350</v>
      </c>
      <c r="D19" s="83"/>
      <c r="E19" s="84">
        <f>F19+G19</f>
        <v>10000</v>
      </c>
      <c r="F19" s="85">
        <v>10000</v>
      </c>
      <c r="G19" s="86"/>
    </row>
    <row r="20" spans="1:7" ht="29.25" customHeight="1" thickBot="1">
      <c r="A20" s="4332"/>
      <c r="B20" s="4339"/>
      <c r="C20" s="91">
        <v>2360</v>
      </c>
      <c r="D20" s="92"/>
      <c r="E20" s="84">
        <f>F20+G20</f>
        <v>526</v>
      </c>
      <c r="F20" s="89"/>
      <c r="G20" s="90">
        <v>526</v>
      </c>
    </row>
    <row r="21" spans="1:7" ht="27" customHeight="1">
      <c r="A21" s="4332"/>
      <c r="B21" s="4337" t="s">
        <v>42</v>
      </c>
      <c r="C21" s="4340" t="s">
        <v>22</v>
      </c>
      <c r="D21" s="4341"/>
      <c r="E21" s="93">
        <f>SUM(E22:E23)</f>
        <v>26316</v>
      </c>
      <c r="F21" s="80">
        <f>SUM(F22:F23)</f>
        <v>25000</v>
      </c>
      <c r="G21" s="81">
        <f>SUM(G22:G23)</f>
        <v>1316</v>
      </c>
    </row>
    <row r="22" spans="1:7" ht="29.25" customHeight="1">
      <c r="A22" s="4332"/>
      <c r="B22" s="4338"/>
      <c r="C22" s="82">
        <v>2350</v>
      </c>
      <c r="D22" s="83"/>
      <c r="E22" s="84">
        <f>F22+G22</f>
        <v>25000</v>
      </c>
      <c r="F22" s="85">
        <v>25000</v>
      </c>
      <c r="G22" s="86"/>
    </row>
    <row r="23" spans="1:7" ht="29.25" customHeight="1" thickBot="1">
      <c r="A23" s="4333"/>
      <c r="B23" s="4339"/>
      <c r="C23" s="91">
        <v>2360</v>
      </c>
      <c r="D23" s="92"/>
      <c r="E23" s="84">
        <f>F23+G23</f>
        <v>1316</v>
      </c>
      <c r="F23" s="89"/>
      <c r="G23" s="90">
        <v>1316</v>
      </c>
    </row>
    <row r="24" spans="1:7" ht="30" customHeight="1" thickBot="1">
      <c r="A24" s="4342" t="s">
        <v>76</v>
      </c>
      <c r="B24" s="4343"/>
      <c r="C24" s="4344"/>
      <c r="D24" s="4345"/>
      <c r="E24" s="94">
        <f>SUM(E17,E13,E9,E5)</f>
        <v>238947</v>
      </c>
      <c r="F24" s="95">
        <f>SUM(F17,F13,F9,F5)</f>
        <v>227000</v>
      </c>
      <c r="G24" s="96">
        <f>SUM(G17,G13,G9,G5)</f>
        <v>11947</v>
      </c>
    </row>
    <row r="25" spans="1:7">
      <c r="A25" s="97"/>
      <c r="B25" s="97"/>
      <c r="C25" s="98"/>
      <c r="D25" s="99"/>
      <c r="E25" s="100"/>
      <c r="F25" s="101"/>
      <c r="G25" s="99"/>
    </row>
    <row r="26" spans="1:7">
      <c r="A26" s="97"/>
      <c r="B26" s="97"/>
      <c r="C26" s="98"/>
      <c r="D26" s="99"/>
      <c r="E26" s="100"/>
      <c r="F26" s="101"/>
      <c r="G26" s="99"/>
    </row>
    <row r="27" spans="1:7">
      <c r="A27" s="102"/>
      <c r="B27" s="102"/>
      <c r="C27" s="66"/>
      <c r="F27" s="9"/>
    </row>
    <row r="28" spans="1:7">
      <c r="A28" s="102"/>
      <c r="B28" s="102"/>
      <c r="C28" s="66"/>
      <c r="F28" s="9"/>
    </row>
    <row r="29" spans="1:7">
      <c r="A29" s="102"/>
      <c r="B29" s="102"/>
      <c r="C29" s="66"/>
      <c r="F29" s="9"/>
    </row>
    <row r="30" spans="1:7">
      <c r="A30" s="4346"/>
      <c r="B30" s="4346"/>
      <c r="C30" s="4346"/>
      <c r="D30" s="4346"/>
      <c r="E30" s="4346"/>
      <c r="F30" s="4346"/>
    </row>
    <row r="31" spans="1:7">
      <c r="A31" s="102"/>
      <c r="B31" s="102"/>
      <c r="C31" s="66"/>
      <c r="F31" s="9"/>
    </row>
    <row r="32" spans="1:7">
      <c r="A32" s="102"/>
      <c r="B32" s="102"/>
      <c r="C32" s="66"/>
      <c r="F32" s="9"/>
    </row>
    <row r="33" spans="1:6">
      <c r="A33" s="102"/>
      <c r="B33" s="102"/>
      <c r="C33" s="66"/>
      <c r="F33" s="9"/>
    </row>
    <row r="34" spans="1:6">
      <c r="A34" s="102"/>
      <c r="B34" s="102"/>
      <c r="C34" s="66"/>
      <c r="F34" s="9"/>
    </row>
    <row r="35" spans="1:6">
      <c r="A35" s="102"/>
      <c r="B35" s="102"/>
      <c r="C35" s="66"/>
      <c r="F35" s="9"/>
    </row>
    <row r="36" spans="1:6">
      <c r="A36" s="102"/>
      <c r="B36" s="102"/>
      <c r="C36" s="66"/>
      <c r="F36" s="9"/>
    </row>
    <row r="37" spans="1:6">
      <c r="A37" s="102"/>
      <c r="B37" s="102"/>
      <c r="C37" s="66"/>
      <c r="F37" s="9"/>
    </row>
    <row r="38" spans="1:6">
      <c r="C38" s="66"/>
      <c r="F38" s="9"/>
    </row>
    <row r="39" spans="1:6">
      <c r="C39" s="66"/>
      <c r="F39" s="9"/>
    </row>
    <row r="40" spans="1:6">
      <c r="C40" s="66"/>
      <c r="F40" s="9"/>
    </row>
    <row r="41" spans="1:6">
      <c r="C41" s="66"/>
      <c r="F41" s="9"/>
    </row>
    <row r="42" spans="1:6">
      <c r="C42" s="66"/>
      <c r="F42" s="9"/>
    </row>
    <row r="43" spans="1:6">
      <c r="C43" s="66"/>
      <c r="F43" s="9"/>
    </row>
    <row r="44" spans="1:6">
      <c r="C44" s="66"/>
      <c r="F44" s="9"/>
    </row>
    <row r="45" spans="1:6">
      <c r="C45" s="66"/>
      <c r="F45" s="9"/>
    </row>
    <row r="46" spans="1:6">
      <c r="C46" s="66"/>
      <c r="F46" s="9"/>
    </row>
    <row r="47" spans="1:6">
      <c r="C47" s="66"/>
      <c r="F47" s="9"/>
    </row>
    <row r="48" spans="1:6">
      <c r="C48" s="66"/>
      <c r="F48" s="9"/>
    </row>
    <row r="49" spans="3:6">
      <c r="C49" s="66"/>
      <c r="F49" s="9"/>
    </row>
    <row r="50" spans="3:6">
      <c r="C50" s="66"/>
      <c r="F50" s="9"/>
    </row>
    <row r="51" spans="3:6">
      <c r="C51" s="66"/>
      <c r="F51" s="9"/>
    </row>
    <row r="52" spans="3:6">
      <c r="C52" s="66"/>
      <c r="F52" s="9"/>
    </row>
    <row r="53" spans="3:6">
      <c r="C53" s="66"/>
      <c r="F53" s="9"/>
    </row>
    <row r="140" spans="3:3">
      <c r="C140" s="68" t="s">
        <v>20</v>
      </c>
    </row>
    <row r="181" spans="4:4">
      <c r="D181" s="69">
        <f>115000000+12000000</f>
        <v>127000000</v>
      </c>
    </row>
    <row r="289" spans="4:4">
      <c r="D289" s="69"/>
    </row>
    <row r="534" spans="17:17">
      <c r="Q534" s="8">
        <f>P534-O534</f>
        <v>0</v>
      </c>
    </row>
  </sheetData>
  <mergeCells count="28">
    <mergeCell ref="A24:D24"/>
    <mergeCell ref="A30:F30"/>
    <mergeCell ref="A13:A16"/>
    <mergeCell ref="B13:D13"/>
    <mergeCell ref="B14:B16"/>
    <mergeCell ref="C14:D14"/>
    <mergeCell ref="A17:A23"/>
    <mergeCell ref="B17:D17"/>
    <mergeCell ref="B18:B20"/>
    <mergeCell ref="C18:D18"/>
    <mergeCell ref="B21:B23"/>
    <mergeCell ref="C21:D21"/>
    <mergeCell ref="A5:A8"/>
    <mergeCell ref="B5:D5"/>
    <mergeCell ref="B6:B8"/>
    <mergeCell ref="C6:D6"/>
    <mergeCell ref="A9:A12"/>
    <mergeCell ref="B9:D9"/>
    <mergeCell ref="B10:B12"/>
    <mergeCell ref="C10:D10"/>
    <mergeCell ref="E1:G1"/>
    <mergeCell ref="A2:G2"/>
    <mergeCell ref="A3:A4"/>
    <mergeCell ref="B3:B4"/>
    <mergeCell ref="C3:C4"/>
    <mergeCell ref="D3:D4"/>
    <mergeCell ref="E3:E4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  <pageSetUpPr fitToPage="1"/>
  </sheetPr>
  <dimension ref="A1:Q533"/>
  <sheetViews>
    <sheetView view="pageBreakPreview" zoomScaleNormal="100" zoomScaleSheetLayoutView="100" workbookViewId="0">
      <selection activeCell="O13" sqref="O13"/>
    </sheetView>
  </sheetViews>
  <sheetFormatPr defaultRowHeight="12.75"/>
  <cols>
    <col min="1" max="1" width="5.85546875" style="447" customWidth="1"/>
    <col min="2" max="2" width="49.7109375" style="447" customWidth="1"/>
    <col min="3" max="4" width="14.5703125" style="447" customWidth="1"/>
    <col min="5" max="5" width="9" style="447" customWidth="1"/>
    <col min="6" max="256" width="9.140625" style="447"/>
    <col min="257" max="257" width="5.85546875" style="447" customWidth="1"/>
    <col min="258" max="258" width="45.42578125" style="447" customWidth="1"/>
    <col min="259" max="260" width="14.5703125" style="447" customWidth="1"/>
    <col min="261" max="261" width="9" style="447" customWidth="1"/>
    <col min="262" max="512" width="9.140625" style="447"/>
    <col min="513" max="513" width="5.85546875" style="447" customWidth="1"/>
    <col min="514" max="514" width="45.42578125" style="447" customWidth="1"/>
    <col min="515" max="516" width="14.5703125" style="447" customWidth="1"/>
    <col min="517" max="517" width="9" style="447" customWidth="1"/>
    <col min="518" max="768" width="9.140625" style="447"/>
    <col min="769" max="769" width="5.85546875" style="447" customWidth="1"/>
    <col min="770" max="770" width="45.42578125" style="447" customWidth="1"/>
    <col min="771" max="772" width="14.5703125" style="447" customWidth="1"/>
    <col min="773" max="773" width="9" style="447" customWidth="1"/>
    <col min="774" max="1024" width="9.140625" style="447"/>
    <col min="1025" max="1025" width="5.85546875" style="447" customWidth="1"/>
    <col min="1026" max="1026" width="45.42578125" style="447" customWidth="1"/>
    <col min="1027" max="1028" width="14.5703125" style="447" customWidth="1"/>
    <col min="1029" max="1029" width="9" style="447" customWidth="1"/>
    <col min="1030" max="1280" width="9.140625" style="447"/>
    <col min="1281" max="1281" width="5.85546875" style="447" customWidth="1"/>
    <col min="1282" max="1282" width="45.42578125" style="447" customWidth="1"/>
    <col min="1283" max="1284" width="14.5703125" style="447" customWidth="1"/>
    <col min="1285" max="1285" width="9" style="447" customWidth="1"/>
    <col min="1286" max="1536" width="9.140625" style="447"/>
    <col min="1537" max="1537" width="5.85546875" style="447" customWidth="1"/>
    <col min="1538" max="1538" width="45.42578125" style="447" customWidth="1"/>
    <col min="1539" max="1540" width="14.5703125" style="447" customWidth="1"/>
    <col min="1541" max="1541" width="9" style="447" customWidth="1"/>
    <col min="1542" max="1792" width="9.140625" style="447"/>
    <col min="1793" max="1793" width="5.85546875" style="447" customWidth="1"/>
    <col min="1794" max="1794" width="45.42578125" style="447" customWidth="1"/>
    <col min="1795" max="1796" width="14.5703125" style="447" customWidth="1"/>
    <col min="1797" max="1797" width="9" style="447" customWidth="1"/>
    <col min="1798" max="2048" width="9.140625" style="447"/>
    <col min="2049" max="2049" width="5.85546875" style="447" customWidth="1"/>
    <col min="2050" max="2050" width="45.42578125" style="447" customWidth="1"/>
    <col min="2051" max="2052" width="14.5703125" style="447" customWidth="1"/>
    <col min="2053" max="2053" width="9" style="447" customWidth="1"/>
    <col min="2054" max="2304" width="9.140625" style="447"/>
    <col min="2305" max="2305" width="5.85546875" style="447" customWidth="1"/>
    <col min="2306" max="2306" width="45.42578125" style="447" customWidth="1"/>
    <col min="2307" max="2308" width="14.5703125" style="447" customWidth="1"/>
    <col min="2309" max="2309" width="9" style="447" customWidth="1"/>
    <col min="2310" max="2560" width="9.140625" style="447"/>
    <col min="2561" max="2561" width="5.85546875" style="447" customWidth="1"/>
    <col min="2562" max="2562" width="45.42578125" style="447" customWidth="1"/>
    <col min="2563" max="2564" width="14.5703125" style="447" customWidth="1"/>
    <col min="2565" max="2565" width="9" style="447" customWidth="1"/>
    <col min="2566" max="2816" width="9.140625" style="447"/>
    <col min="2817" max="2817" width="5.85546875" style="447" customWidth="1"/>
    <col min="2818" max="2818" width="45.42578125" style="447" customWidth="1"/>
    <col min="2819" max="2820" width="14.5703125" style="447" customWidth="1"/>
    <col min="2821" max="2821" width="9" style="447" customWidth="1"/>
    <col min="2822" max="3072" width="9.140625" style="447"/>
    <col min="3073" max="3073" width="5.85546875" style="447" customWidth="1"/>
    <col min="3074" max="3074" width="45.42578125" style="447" customWidth="1"/>
    <col min="3075" max="3076" width="14.5703125" style="447" customWidth="1"/>
    <col min="3077" max="3077" width="9" style="447" customWidth="1"/>
    <col min="3078" max="3328" width="9.140625" style="447"/>
    <col min="3329" max="3329" width="5.85546875" style="447" customWidth="1"/>
    <col min="3330" max="3330" width="45.42578125" style="447" customWidth="1"/>
    <col min="3331" max="3332" width="14.5703125" style="447" customWidth="1"/>
    <col min="3333" max="3333" width="9" style="447" customWidth="1"/>
    <col min="3334" max="3584" width="9.140625" style="447"/>
    <col min="3585" max="3585" width="5.85546875" style="447" customWidth="1"/>
    <col min="3586" max="3586" width="45.42578125" style="447" customWidth="1"/>
    <col min="3587" max="3588" width="14.5703125" style="447" customWidth="1"/>
    <col min="3589" max="3589" width="9" style="447" customWidth="1"/>
    <col min="3590" max="3840" width="9.140625" style="447"/>
    <col min="3841" max="3841" width="5.85546875" style="447" customWidth="1"/>
    <col min="3842" max="3842" width="45.42578125" style="447" customWidth="1"/>
    <col min="3843" max="3844" width="14.5703125" style="447" customWidth="1"/>
    <col min="3845" max="3845" width="9" style="447" customWidth="1"/>
    <col min="3846" max="4096" width="9.140625" style="447"/>
    <col min="4097" max="4097" width="5.85546875" style="447" customWidth="1"/>
    <col min="4098" max="4098" width="45.42578125" style="447" customWidth="1"/>
    <col min="4099" max="4100" width="14.5703125" style="447" customWidth="1"/>
    <col min="4101" max="4101" width="9" style="447" customWidth="1"/>
    <col min="4102" max="4352" width="9.140625" style="447"/>
    <col min="4353" max="4353" width="5.85546875" style="447" customWidth="1"/>
    <col min="4354" max="4354" width="45.42578125" style="447" customWidth="1"/>
    <col min="4355" max="4356" width="14.5703125" style="447" customWidth="1"/>
    <col min="4357" max="4357" width="9" style="447" customWidth="1"/>
    <col min="4358" max="4608" width="9.140625" style="447"/>
    <col min="4609" max="4609" width="5.85546875" style="447" customWidth="1"/>
    <col min="4610" max="4610" width="45.42578125" style="447" customWidth="1"/>
    <col min="4611" max="4612" width="14.5703125" style="447" customWidth="1"/>
    <col min="4613" max="4613" width="9" style="447" customWidth="1"/>
    <col min="4614" max="4864" width="9.140625" style="447"/>
    <col min="4865" max="4865" width="5.85546875" style="447" customWidth="1"/>
    <col min="4866" max="4866" width="45.42578125" style="447" customWidth="1"/>
    <col min="4867" max="4868" width="14.5703125" style="447" customWidth="1"/>
    <col min="4869" max="4869" width="9" style="447" customWidth="1"/>
    <col min="4870" max="5120" width="9.140625" style="447"/>
    <col min="5121" max="5121" width="5.85546875" style="447" customWidth="1"/>
    <col min="5122" max="5122" width="45.42578125" style="447" customWidth="1"/>
    <col min="5123" max="5124" width="14.5703125" style="447" customWidth="1"/>
    <col min="5125" max="5125" width="9" style="447" customWidth="1"/>
    <col min="5126" max="5376" width="9.140625" style="447"/>
    <col min="5377" max="5377" width="5.85546875" style="447" customWidth="1"/>
    <col min="5378" max="5378" width="45.42578125" style="447" customWidth="1"/>
    <col min="5379" max="5380" width="14.5703125" style="447" customWidth="1"/>
    <col min="5381" max="5381" width="9" style="447" customWidth="1"/>
    <col min="5382" max="5632" width="9.140625" style="447"/>
    <col min="5633" max="5633" width="5.85546875" style="447" customWidth="1"/>
    <col min="5634" max="5634" width="45.42578125" style="447" customWidth="1"/>
    <col min="5635" max="5636" width="14.5703125" style="447" customWidth="1"/>
    <col min="5637" max="5637" width="9" style="447" customWidth="1"/>
    <col min="5638" max="5888" width="9.140625" style="447"/>
    <col min="5889" max="5889" width="5.85546875" style="447" customWidth="1"/>
    <col min="5890" max="5890" width="45.42578125" style="447" customWidth="1"/>
    <col min="5891" max="5892" width="14.5703125" style="447" customWidth="1"/>
    <col min="5893" max="5893" width="9" style="447" customWidth="1"/>
    <col min="5894" max="6144" width="9.140625" style="447"/>
    <col min="6145" max="6145" width="5.85546875" style="447" customWidth="1"/>
    <col min="6146" max="6146" width="45.42578125" style="447" customWidth="1"/>
    <col min="6147" max="6148" width="14.5703125" style="447" customWidth="1"/>
    <col min="6149" max="6149" width="9" style="447" customWidth="1"/>
    <col min="6150" max="6400" width="9.140625" style="447"/>
    <col min="6401" max="6401" width="5.85546875" style="447" customWidth="1"/>
    <col min="6402" max="6402" width="45.42578125" style="447" customWidth="1"/>
    <col min="6403" max="6404" width="14.5703125" style="447" customWidth="1"/>
    <col min="6405" max="6405" width="9" style="447" customWidth="1"/>
    <col min="6406" max="6656" width="9.140625" style="447"/>
    <col min="6657" max="6657" width="5.85546875" style="447" customWidth="1"/>
    <col min="6658" max="6658" width="45.42578125" style="447" customWidth="1"/>
    <col min="6659" max="6660" width="14.5703125" style="447" customWidth="1"/>
    <col min="6661" max="6661" width="9" style="447" customWidth="1"/>
    <col min="6662" max="6912" width="9.140625" style="447"/>
    <col min="6913" max="6913" width="5.85546875" style="447" customWidth="1"/>
    <col min="6914" max="6914" width="45.42578125" style="447" customWidth="1"/>
    <col min="6915" max="6916" width="14.5703125" style="447" customWidth="1"/>
    <col min="6917" max="6917" width="9" style="447" customWidth="1"/>
    <col min="6918" max="7168" width="9.140625" style="447"/>
    <col min="7169" max="7169" width="5.85546875" style="447" customWidth="1"/>
    <col min="7170" max="7170" width="45.42578125" style="447" customWidth="1"/>
    <col min="7171" max="7172" width="14.5703125" style="447" customWidth="1"/>
    <col min="7173" max="7173" width="9" style="447" customWidth="1"/>
    <col min="7174" max="7424" width="9.140625" style="447"/>
    <col min="7425" max="7425" width="5.85546875" style="447" customWidth="1"/>
    <col min="7426" max="7426" width="45.42578125" style="447" customWidth="1"/>
    <col min="7427" max="7428" width="14.5703125" style="447" customWidth="1"/>
    <col min="7429" max="7429" width="9" style="447" customWidth="1"/>
    <col min="7430" max="7680" width="9.140625" style="447"/>
    <col min="7681" max="7681" width="5.85546875" style="447" customWidth="1"/>
    <col min="7682" max="7682" width="45.42578125" style="447" customWidth="1"/>
    <col min="7683" max="7684" width="14.5703125" style="447" customWidth="1"/>
    <col min="7685" max="7685" width="9" style="447" customWidth="1"/>
    <col min="7686" max="7936" width="9.140625" style="447"/>
    <col min="7937" max="7937" width="5.85546875" style="447" customWidth="1"/>
    <col min="7938" max="7938" width="45.42578125" style="447" customWidth="1"/>
    <col min="7939" max="7940" width="14.5703125" style="447" customWidth="1"/>
    <col min="7941" max="7941" width="9" style="447" customWidth="1"/>
    <col min="7942" max="8192" width="9.140625" style="447"/>
    <col min="8193" max="8193" width="5.85546875" style="447" customWidth="1"/>
    <col min="8194" max="8194" width="45.42578125" style="447" customWidth="1"/>
    <col min="8195" max="8196" width="14.5703125" style="447" customWidth="1"/>
    <col min="8197" max="8197" width="9" style="447" customWidth="1"/>
    <col min="8198" max="8448" width="9.140625" style="447"/>
    <col min="8449" max="8449" width="5.85546875" style="447" customWidth="1"/>
    <col min="8450" max="8450" width="45.42578125" style="447" customWidth="1"/>
    <col min="8451" max="8452" width="14.5703125" style="447" customWidth="1"/>
    <col min="8453" max="8453" width="9" style="447" customWidth="1"/>
    <col min="8454" max="8704" width="9.140625" style="447"/>
    <col min="8705" max="8705" width="5.85546875" style="447" customWidth="1"/>
    <col min="8706" max="8706" width="45.42578125" style="447" customWidth="1"/>
    <col min="8707" max="8708" width="14.5703125" style="447" customWidth="1"/>
    <col min="8709" max="8709" width="9" style="447" customWidth="1"/>
    <col min="8710" max="8960" width="9.140625" style="447"/>
    <col min="8961" max="8961" width="5.85546875" style="447" customWidth="1"/>
    <col min="8962" max="8962" width="45.42578125" style="447" customWidth="1"/>
    <col min="8963" max="8964" width="14.5703125" style="447" customWidth="1"/>
    <col min="8965" max="8965" width="9" style="447" customWidth="1"/>
    <col min="8966" max="9216" width="9.140625" style="447"/>
    <col min="9217" max="9217" width="5.85546875" style="447" customWidth="1"/>
    <col min="9218" max="9218" width="45.42578125" style="447" customWidth="1"/>
    <col min="9219" max="9220" width="14.5703125" style="447" customWidth="1"/>
    <col min="9221" max="9221" width="9" style="447" customWidth="1"/>
    <col min="9222" max="9472" width="9.140625" style="447"/>
    <col min="9473" max="9473" width="5.85546875" style="447" customWidth="1"/>
    <col min="9474" max="9474" width="45.42578125" style="447" customWidth="1"/>
    <col min="9475" max="9476" width="14.5703125" style="447" customWidth="1"/>
    <col min="9477" max="9477" width="9" style="447" customWidth="1"/>
    <col min="9478" max="9728" width="9.140625" style="447"/>
    <col min="9729" max="9729" width="5.85546875" style="447" customWidth="1"/>
    <col min="9730" max="9730" width="45.42578125" style="447" customWidth="1"/>
    <col min="9731" max="9732" width="14.5703125" style="447" customWidth="1"/>
    <col min="9733" max="9733" width="9" style="447" customWidth="1"/>
    <col min="9734" max="9984" width="9.140625" style="447"/>
    <col min="9985" max="9985" width="5.85546875" style="447" customWidth="1"/>
    <col min="9986" max="9986" width="45.42578125" style="447" customWidth="1"/>
    <col min="9987" max="9988" width="14.5703125" style="447" customWidth="1"/>
    <col min="9989" max="9989" width="9" style="447" customWidth="1"/>
    <col min="9990" max="10240" width="9.140625" style="447"/>
    <col min="10241" max="10241" width="5.85546875" style="447" customWidth="1"/>
    <col min="10242" max="10242" width="45.42578125" style="447" customWidth="1"/>
    <col min="10243" max="10244" width="14.5703125" style="447" customWidth="1"/>
    <col min="10245" max="10245" width="9" style="447" customWidth="1"/>
    <col min="10246" max="10496" width="9.140625" style="447"/>
    <col min="10497" max="10497" width="5.85546875" style="447" customWidth="1"/>
    <col min="10498" max="10498" width="45.42578125" style="447" customWidth="1"/>
    <col min="10499" max="10500" width="14.5703125" style="447" customWidth="1"/>
    <col min="10501" max="10501" width="9" style="447" customWidth="1"/>
    <col min="10502" max="10752" width="9.140625" style="447"/>
    <col min="10753" max="10753" width="5.85546875" style="447" customWidth="1"/>
    <col min="10754" max="10754" width="45.42578125" style="447" customWidth="1"/>
    <col min="10755" max="10756" width="14.5703125" style="447" customWidth="1"/>
    <col min="10757" max="10757" width="9" style="447" customWidth="1"/>
    <col min="10758" max="11008" width="9.140625" style="447"/>
    <col min="11009" max="11009" width="5.85546875" style="447" customWidth="1"/>
    <col min="11010" max="11010" width="45.42578125" style="447" customWidth="1"/>
    <col min="11011" max="11012" width="14.5703125" style="447" customWidth="1"/>
    <col min="11013" max="11013" width="9" style="447" customWidth="1"/>
    <col min="11014" max="11264" width="9.140625" style="447"/>
    <col min="11265" max="11265" width="5.85546875" style="447" customWidth="1"/>
    <col min="11266" max="11266" width="45.42578125" style="447" customWidth="1"/>
    <col min="11267" max="11268" width="14.5703125" style="447" customWidth="1"/>
    <col min="11269" max="11269" width="9" style="447" customWidth="1"/>
    <col min="11270" max="11520" width="9.140625" style="447"/>
    <col min="11521" max="11521" width="5.85546875" style="447" customWidth="1"/>
    <col min="11522" max="11522" width="45.42578125" style="447" customWidth="1"/>
    <col min="11523" max="11524" width="14.5703125" style="447" customWidth="1"/>
    <col min="11525" max="11525" width="9" style="447" customWidth="1"/>
    <col min="11526" max="11776" width="9.140625" style="447"/>
    <col min="11777" max="11777" width="5.85546875" style="447" customWidth="1"/>
    <col min="11778" max="11778" width="45.42578125" style="447" customWidth="1"/>
    <col min="11779" max="11780" width="14.5703125" style="447" customWidth="1"/>
    <col min="11781" max="11781" width="9" style="447" customWidth="1"/>
    <col min="11782" max="12032" width="9.140625" style="447"/>
    <col min="12033" max="12033" width="5.85546875" style="447" customWidth="1"/>
    <col min="12034" max="12034" width="45.42578125" style="447" customWidth="1"/>
    <col min="12035" max="12036" width="14.5703125" style="447" customWidth="1"/>
    <col min="12037" max="12037" width="9" style="447" customWidth="1"/>
    <col min="12038" max="12288" width="9.140625" style="447"/>
    <col min="12289" max="12289" width="5.85546875" style="447" customWidth="1"/>
    <col min="12290" max="12290" width="45.42578125" style="447" customWidth="1"/>
    <col min="12291" max="12292" width="14.5703125" style="447" customWidth="1"/>
    <col min="12293" max="12293" width="9" style="447" customWidth="1"/>
    <col min="12294" max="12544" width="9.140625" style="447"/>
    <col min="12545" max="12545" width="5.85546875" style="447" customWidth="1"/>
    <col min="12546" max="12546" width="45.42578125" style="447" customWidth="1"/>
    <col min="12547" max="12548" width="14.5703125" style="447" customWidth="1"/>
    <col min="12549" max="12549" width="9" style="447" customWidth="1"/>
    <col min="12550" max="12800" width="9.140625" style="447"/>
    <col min="12801" max="12801" width="5.85546875" style="447" customWidth="1"/>
    <col min="12802" max="12802" width="45.42578125" style="447" customWidth="1"/>
    <col min="12803" max="12804" width="14.5703125" style="447" customWidth="1"/>
    <col min="12805" max="12805" width="9" style="447" customWidth="1"/>
    <col min="12806" max="13056" width="9.140625" style="447"/>
    <col min="13057" max="13057" width="5.85546875" style="447" customWidth="1"/>
    <col min="13058" max="13058" width="45.42578125" style="447" customWidth="1"/>
    <col min="13059" max="13060" width="14.5703125" style="447" customWidth="1"/>
    <col min="13061" max="13061" width="9" style="447" customWidth="1"/>
    <col min="13062" max="13312" width="9.140625" style="447"/>
    <col min="13313" max="13313" width="5.85546875" style="447" customWidth="1"/>
    <col min="13314" max="13314" width="45.42578125" style="447" customWidth="1"/>
    <col min="13315" max="13316" width="14.5703125" style="447" customWidth="1"/>
    <col min="13317" max="13317" width="9" style="447" customWidth="1"/>
    <col min="13318" max="13568" width="9.140625" style="447"/>
    <col min="13569" max="13569" width="5.85546875" style="447" customWidth="1"/>
    <col min="13570" max="13570" width="45.42578125" style="447" customWidth="1"/>
    <col min="13571" max="13572" width="14.5703125" style="447" customWidth="1"/>
    <col min="13573" max="13573" width="9" style="447" customWidth="1"/>
    <col min="13574" max="13824" width="9.140625" style="447"/>
    <col min="13825" max="13825" width="5.85546875" style="447" customWidth="1"/>
    <col min="13826" max="13826" width="45.42578125" style="447" customWidth="1"/>
    <col min="13827" max="13828" width="14.5703125" style="447" customWidth="1"/>
    <col min="13829" max="13829" width="9" style="447" customWidth="1"/>
    <col min="13830" max="14080" width="9.140625" style="447"/>
    <col min="14081" max="14081" width="5.85546875" style="447" customWidth="1"/>
    <col min="14082" max="14082" width="45.42578125" style="447" customWidth="1"/>
    <col min="14083" max="14084" width="14.5703125" style="447" customWidth="1"/>
    <col min="14085" max="14085" width="9" style="447" customWidth="1"/>
    <col min="14086" max="14336" width="9.140625" style="447"/>
    <col min="14337" max="14337" width="5.85546875" style="447" customWidth="1"/>
    <col min="14338" max="14338" width="45.42578125" style="447" customWidth="1"/>
    <col min="14339" max="14340" width="14.5703125" style="447" customWidth="1"/>
    <col min="14341" max="14341" width="9" style="447" customWidth="1"/>
    <col min="14342" max="14592" width="9.140625" style="447"/>
    <col min="14593" max="14593" width="5.85546875" style="447" customWidth="1"/>
    <col min="14594" max="14594" width="45.42578125" style="447" customWidth="1"/>
    <col min="14595" max="14596" width="14.5703125" style="447" customWidth="1"/>
    <col min="14597" max="14597" width="9" style="447" customWidth="1"/>
    <col min="14598" max="14848" width="9.140625" style="447"/>
    <col min="14849" max="14849" width="5.85546875" style="447" customWidth="1"/>
    <col min="14850" max="14850" width="45.42578125" style="447" customWidth="1"/>
    <col min="14851" max="14852" width="14.5703125" style="447" customWidth="1"/>
    <col min="14853" max="14853" width="9" style="447" customWidth="1"/>
    <col min="14854" max="15104" width="9.140625" style="447"/>
    <col min="15105" max="15105" width="5.85546875" style="447" customWidth="1"/>
    <col min="15106" max="15106" width="45.42578125" style="447" customWidth="1"/>
    <col min="15107" max="15108" width="14.5703125" style="447" customWidth="1"/>
    <col min="15109" max="15109" width="9" style="447" customWidth="1"/>
    <col min="15110" max="15360" width="9.140625" style="447"/>
    <col min="15361" max="15361" width="5.85546875" style="447" customWidth="1"/>
    <col min="15362" max="15362" width="45.42578125" style="447" customWidth="1"/>
    <col min="15363" max="15364" width="14.5703125" style="447" customWidth="1"/>
    <col min="15365" max="15365" width="9" style="447" customWidth="1"/>
    <col min="15366" max="15616" width="9.140625" style="447"/>
    <col min="15617" max="15617" width="5.85546875" style="447" customWidth="1"/>
    <col min="15618" max="15618" width="45.42578125" style="447" customWidth="1"/>
    <col min="15619" max="15620" width="14.5703125" style="447" customWidth="1"/>
    <col min="15621" max="15621" width="9" style="447" customWidth="1"/>
    <col min="15622" max="15872" width="9.140625" style="447"/>
    <col min="15873" max="15873" width="5.85546875" style="447" customWidth="1"/>
    <col min="15874" max="15874" width="45.42578125" style="447" customWidth="1"/>
    <col min="15875" max="15876" width="14.5703125" style="447" customWidth="1"/>
    <col min="15877" max="15877" width="9" style="447" customWidth="1"/>
    <col min="15878" max="16128" width="9.140625" style="447"/>
    <col min="16129" max="16129" width="5.85546875" style="447" customWidth="1"/>
    <col min="16130" max="16130" width="45.42578125" style="447" customWidth="1"/>
    <col min="16131" max="16132" width="14.5703125" style="447" customWidth="1"/>
    <col min="16133" max="16133" width="9" style="447" customWidth="1"/>
    <col min="16134" max="16384" width="9.140625" style="447"/>
  </cols>
  <sheetData>
    <row r="1" spans="1:5" ht="76.5" customHeight="1">
      <c r="A1" s="446"/>
      <c r="B1" s="4351" t="s">
        <v>1463</v>
      </c>
      <c r="C1" s="4351"/>
      <c r="D1" s="4351"/>
    </row>
    <row r="2" spans="1:5" ht="63" customHeight="1" thickBot="1">
      <c r="A2" s="4352" t="s">
        <v>290</v>
      </c>
      <c r="B2" s="4352"/>
      <c r="C2" s="4352"/>
      <c r="D2" s="4352"/>
    </row>
    <row r="3" spans="1:5" ht="22.5" customHeight="1" thickBot="1">
      <c r="A3" s="448" t="s">
        <v>84</v>
      </c>
      <c r="B3" s="474" t="s">
        <v>291</v>
      </c>
      <c r="C3" s="448" t="s">
        <v>292</v>
      </c>
      <c r="D3" s="449" t="s">
        <v>293</v>
      </c>
    </row>
    <row r="4" spans="1:5" ht="15" customHeight="1" thickBot="1">
      <c r="A4" s="474"/>
      <c r="B4" s="475" t="s">
        <v>294</v>
      </c>
      <c r="C4" s="450">
        <f>SUM(C5,C8,C14,C16)</f>
        <v>1899803</v>
      </c>
      <c r="D4" s="450">
        <f>SUM(D5,D8,D14,D16)</f>
        <v>1899803</v>
      </c>
    </row>
    <row r="5" spans="1:5" ht="15" customHeight="1" thickBot="1">
      <c r="A5" s="4347" t="s">
        <v>295</v>
      </c>
      <c r="B5" s="4348"/>
      <c r="C5" s="451">
        <f>SUM(C6:C7)</f>
        <v>3020</v>
      </c>
      <c r="D5" s="452">
        <f>SUM(D6:D7)</f>
        <v>3020</v>
      </c>
    </row>
    <row r="6" spans="1:5" ht="26.25" customHeight="1">
      <c r="A6" s="453">
        <v>1</v>
      </c>
      <c r="B6" s="454" t="s">
        <v>296</v>
      </c>
      <c r="C6" s="455">
        <v>20</v>
      </c>
      <c r="D6" s="456">
        <v>20</v>
      </c>
      <c r="E6" s="457"/>
    </row>
    <row r="7" spans="1:5" ht="15" customHeight="1" thickBot="1">
      <c r="A7" s="458">
        <v>2</v>
      </c>
      <c r="B7" s="459" t="s">
        <v>297</v>
      </c>
      <c r="C7" s="2844">
        <v>3000</v>
      </c>
      <c r="D7" s="2845">
        <v>3000</v>
      </c>
      <c r="E7" s="457"/>
    </row>
    <row r="8" spans="1:5" ht="15" customHeight="1" thickBot="1">
      <c r="A8" s="4347" t="s">
        <v>298</v>
      </c>
      <c r="B8" s="4348"/>
      <c r="C8" s="460">
        <f>SUM(C9:C13)</f>
        <v>291679</v>
      </c>
      <c r="D8" s="461">
        <f>SUM(D9:D13)</f>
        <v>291679</v>
      </c>
      <c r="E8" s="457"/>
    </row>
    <row r="9" spans="1:5" ht="27" customHeight="1">
      <c r="A9" s="462">
        <v>1</v>
      </c>
      <c r="B9" s="463" t="s">
        <v>299</v>
      </c>
      <c r="C9" s="464">
        <v>62000</v>
      </c>
      <c r="D9" s="465">
        <v>62000</v>
      </c>
      <c r="E9" s="457"/>
    </row>
    <row r="10" spans="1:5" ht="27" customHeight="1">
      <c r="A10" s="2846">
        <v>2</v>
      </c>
      <c r="B10" s="2847" t="s">
        <v>300</v>
      </c>
      <c r="C10" s="2848">
        <v>23116</v>
      </c>
      <c r="D10" s="2849">
        <v>23116</v>
      </c>
      <c r="E10" s="457"/>
    </row>
    <row r="11" spans="1:5" ht="27" customHeight="1">
      <c r="A11" s="2846">
        <v>3</v>
      </c>
      <c r="B11" s="2847" t="s">
        <v>301</v>
      </c>
      <c r="C11" s="2848">
        <v>500</v>
      </c>
      <c r="D11" s="2849">
        <v>500</v>
      </c>
      <c r="E11" s="457"/>
    </row>
    <row r="12" spans="1:5" ht="27" customHeight="1">
      <c r="A12" s="2846">
        <v>4</v>
      </c>
      <c r="B12" s="2847" t="s">
        <v>302</v>
      </c>
      <c r="C12" s="2848">
        <v>37600</v>
      </c>
      <c r="D12" s="2849">
        <v>37600</v>
      </c>
      <c r="E12" s="457"/>
    </row>
    <row r="13" spans="1:5" s="467" customFormat="1" ht="27.75" customHeight="1" thickBot="1">
      <c r="A13" s="458">
        <v>5</v>
      </c>
      <c r="B13" s="466" t="s">
        <v>303</v>
      </c>
      <c r="C13" s="2844">
        <v>168463</v>
      </c>
      <c r="D13" s="2845">
        <v>168463</v>
      </c>
      <c r="E13" s="457"/>
    </row>
    <row r="14" spans="1:5" ht="15" customHeight="1" thickBot="1">
      <c r="A14" s="4347" t="s">
        <v>304</v>
      </c>
      <c r="B14" s="4348"/>
      <c r="C14" s="460">
        <f>SUM(C15)</f>
        <v>1302904</v>
      </c>
      <c r="D14" s="461">
        <f>SUM(D15)</f>
        <v>1302904</v>
      </c>
      <c r="E14" s="457"/>
    </row>
    <row r="15" spans="1:5" ht="15.75" customHeight="1" thickBot="1">
      <c r="A15" s="468">
        <v>1</v>
      </c>
      <c r="B15" s="469" t="s">
        <v>305</v>
      </c>
      <c r="C15" s="455">
        <v>1302904</v>
      </c>
      <c r="D15" s="456">
        <v>1302904</v>
      </c>
      <c r="E15" s="457"/>
    </row>
    <row r="16" spans="1:5" ht="15" customHeight="1" thickBot="1">
      <c r="A16" s="4347" t="s">
        <v>306</v>
      </c>
      <c r="B16" s="4348"/>
      <c r="C16" s="460">
        <f>SUM(C17:C20)</f>
        <v>302200</v>
      </c>
      <c r="D16" s="461">
        <f>SUM(D17:D20)</f>
        <v>302200</v>
      </c>
      <c r="E16" s="457"/>
    </row>
    <row r="17" spans="1:5" ht="15" customHeight="1">
      <c r="A17" s="462">
        <v>1</v>
      </c>
      <c r="B17" s="469" t="s">
        <v>305</v>
      </c>
      <c r="C17" s="464">
        <v>71000</v>
      </c>
      <c r="D17" s="464">
        <v>71000</v>
      </c>
      <c r="E17" s="457"/>
    </row>
    <row r="18" spans="1:5" s="467" customFormat="1" ht="15" customHeight="1">
      <c r="A18" s="2846">
        <v>2</v>
      </c>
      <c r="B18" s="2850" t="s">
        <v>307</v>
      </c>
      <c r="C18" s="2848">
        <v>25100</v>
      </c>
      <c r="D18" s="2848">
        <v>25100</v>
      </c>
      <c r="E18" s="470"/>
    </row>
    <row r="19" spans="1:5" ht="15" customHeight="1">
      <c r="A19" s="2846">
        <v>3</v>
      </c>
      <c r="B19" s="2850" t="s">
        <v>308</v>
      </c>
      <c r="C19" s="2848">
        <v>180000</v>
      </c>
      <c r="D19" s="2848">
        <v>180000</v>
      </c>
      <c r="E19" s="457"/>
    </row>
    <row r="20" spans="1:5" ht="15" customHeight="1" thickBot="1">
      <c r="A20" s="458">
        <v>4</v>
      </c>
      <c r="B20" s="471" t="s">
        <v>309</v>
      </c>
      <c r="C20" s="2844">
        <v>26100</v>
      </c>
      <c r="D20" s="2844">
        <v>26100</v>
      </c>
      <c r="E20" s="457"/>
    </row>
    <row r="21" spans="1:5" ht="15" customHeight="1" thickBot="1">
      <c r="A21" s="474"/>
      <c r="B21" s="475" t="s">
        <v>310</v>
      </c>
      <c r="C21" s="450">
        <f>SUM(C22,C24)</f>
        <v>642753</v>
      </c>
      <c r="D21" s="450">
        <f>SUM(D22,D24)</f>
        <v>642753</v>
      </c>
      <c r="E21" s="457"/>
    </row>
    <row r="22" spans="1:5" ht="15" customHeight="1" thickBot="1">
      <c r="A22" s="4347" t="s">
        <v>311</v>
      </c>
      <c r="B22" s="4348"/>
      <c r="C22" s="460">
        <f>SUM(C23:C23)</f>
        <v>300500</v>
      </c>
      <c r="D22" s="461">
        <f>SUM(D23:D23)</f>
        <v>300500</v>
      </c>
      <c r="E22" s="457"/>
    </row>
    <row r="23" spans="1:5" ht="29.25" customHeight="1" thickBot="1">
      <c r="A23" s="472">
        <v>1</v>
      </c>
      <c r="B23" s="473" t="s">
        <v>303</v>
      </c>
      <c r="C23" s="455">
        <v>300500</v>
      </c>
      <c r="D23" s="455">
        <v>300500</v>
      </c>
      <c r="E23" s="457"/>
    </row>
    <row r="24" spans="1:5" ht="15" customHeight="1" thickBot="1">
      <c r="A24" s="4347" t="s">
        <v>312</v>
      </c>
      <c r="B24" s="4348"/>
      <c r="C24" s="460">
        <f>SUM(C25:C25)</f>
        <v>342253</v>
      </c>
      <c r="D24" s="461">
        <f>SUM(D25:D25)</f>
        <v>342253</v>
      </c>
      <c r="E24" s="457"/>
    </row>
    <row r="25" spans="1:5" ht="17.25" customHeight="1" thickBot="1">
      <c r="A25" s="472">
        <v>1</v>
      </c>
      <c r="B25" s="469" t="s">
        <v>305</v>
      </c>
      <c r="C25" s="455">
        <v>342253</v>
      </c>
      <c r="D25" s="455">
        <v>342253</v>
      </c>
      <c r="E25" s="457"/>
    </row>
    <row r="26" spans="1:5" ht="24" customHeight="1" thickBot="1">
      <c r="A26" s="4349" t="s">
        <v>313</v>
      </c>
      <c r="B26" s="4350"/>
      <c r="C26" s="476">
        <f>SUM(C4,C21)</f>
        <v>2542556</v>
      </c>
      <c r="D26" s="476">
        <f>SUM(D4,D21)</f>
        <v>2542556</v>
      </c>
      <c r="E26" s="457"/>
    </row>
    <row r="27" spans="1:5" ht="12.75" customHeight="1">
      <c r="A27" s="477"/>
      <c r="B27" s="477"/>
      <c r="C27" s="478"/>
      <c r="D27" s="478"/>
    </row>
    <row r="29" spans="1:5">
      <c r="A29" s="479"/>
      <c r="B29" s="480"/>
      <c r="C29" s="481"/>
      <c r="D29" s="481"/>
    </row>
    <row r="533" spans="17:17">
      <c r="Q533" s="447">
        <f>P533-O533</f>
        <v>0</v>
      </c>
    </row>
  </sheetData>
  <mergeCells count="9">
    <mergeCell ref="A22:B22"/>
    <mergeCell ref="A24:B24"/>
    <mergeCell ref="A26:B26"/>
    <mergeCell ref="B1:D1"/>
    <mergeCell ref="A2:D2"/>
    <mergeCell ref="A5:B5"/>
    <mergeCell ref="A8:B8"/>
    <mergeCell ref="A14:B14"/>
    <mergeCell ref="A16:B1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M2639"/>
  <sheetViews>
    <sheetView view="pageBreakPreview" zoomScaleNormal="100" zoomScaleSheetLayoutView="100" workbookViewId="0">
      <pane ySplit="7" topLeftCell="A8" activePane="bottomLeft" state="frozen"/>
      <selection activeCell="R16" sqref="R16"/>
      <selection pane="bottomLeft" activeCell="F2614" sqref="F2614:F2615"/>
    </sheetView>
  </sheetViews>
  <sheetFormatPr defaultRowHeight="12.75"/>
  <cols>
    <col min="1" max="1" width="7" style="1632" customWidth="1"/>
    <col min="2" max="2" width="8" style="1632" customWidth="1"/>
    <col min="3" max="3" width="10.5703125" style="1632" customWidth="1"/>
    <col min="4" max="4" width="62.28515625" style="1632" customWidth="1"/>
    <col min="5" max="5" width="42.42578125" style="1632" hidden="1" customWidth="1"/>
    <col min="6" max="6" width="19.7109375" style="1632" customWidth="1"/>
    <col min="7" max="7" width="10" style="1634" hidden="1" customWidth="1"/>
    <col min="8" max="8" width="10.42578125" style="1635" hidden="1" customWidth="1"/>
    <col min="9" max="9" width="10" style="1636" hidden="1" customWidth="1"/>
    <col min="10" max="10" width="10.140625" style="1636" hidden="1" customWidth="1"/>
    <col min="11" max="11" width="11.140625" style="1636" hidden="1" customWidth="1"/>
    <col min="12" max="12" width="6.5703125" style="1636" hidden="1" customWidth="1"/>
    <col min="13" max="13" width="5.5703125" style="1636" hidden="1" customWidth="1"/>
    <col min="14" max="14" width="6.5703125" style="1636" hidden="1" customWidth="1"/>
    <col min="15" max="15" width="10.140625" style="1636" hidden="1" customWidth="1"/>
    <col min="16" max="16" width="7.85546875" style="1636" hidden="1" customWidth="1"/>
    <col min="17" max="17" width="9.140625" style="1636" hidden="1" customWidth="1"/>
    <col min="18" max="19" width="10.140625" style="1636" hidden="1" customWidth="1"/>
    <col min="20" max="20" width="9.140625" style="1636" hidden="1" customWidth="1"/>
    <col min="21" max="21" width="7.85546875" style="1636" hidden="1" customWidth="1"/>
    <col min="22" max="23" width="10.140625" style="1636" hidden="1" customWidth="1"/>
    <col min="24" max="24" width="12.7109375" style="1636" hidden="1" customWidth="1"/>
    <col min="25" max="25" width="9.140625" style="1636" hidden="1" customWidth="1"/>
    <col min="26" max="26" width="9.140625" style="1637" hidden="1" customWidth="1"/>
    <col min="27" max="27" width="11.140625" style="1637" hidden="1" customWidth="1"/>
    <col min="28" max="28" width="10.140625" style="1637" hidden="1" customWidth="1"/>
    <col min="29" max="30" width="10.140625" style="1636" hidden="1" customWidth="1"/>
    <col min="31" max="31" width="10.140625" style="1637" hidden="1" customWidth="1"/>
    <col min="32" max="16384" width="9.140625" style="1632"/>
  </cols>
  <sheetData>
    <row r="1" spans="1:39" ht="88.5" customHeight="1">
      <c r="F1" s="1633" t="s">
        <v>1449</v>
      </c>
    </row>
    <row r="2" spans="1:39" ht="36" customHeight="1" thickBot="1">
      <c r="A2" s="3471" t="s">
        <v>726</v>
      </c>
      <c r="B2" s="3471"/>
      <c r="C2" s="3471"/>
      <c r="D2" s="3471"/>
      <c r="E2" s="3471"/>
      <c r="F2" s="3471"/>
      <c r="G2" s="3471"/>
    </row>
    <row r="3" spans="1:39" ht="13.5" hidden="1" customHeight="1">
      <c r="A3" s="3471"/>
      <c r="B3" s="3471"/>
      <c r="C3" s="3471"/>
      <c r="D3" s="3471"/>
      <c r="E3" s="3471"/>
      <c r="F3" s="3471"/>
      <c r="G3" s="3471"/>
    </row>
    <row r="4" spans="1:39" ht="7.5" hidden="1" customHeight="1">
      <c r="A4" s="3471"/>
      <c r="B4" s="3471"/>
      <c r="C4" s="3471"/>
      <c r="D4" s="3471"/>
      <c r="E4" s="3471"/>
      <c r="F4" s="3471"/>
      <c r="G4" s="3471"/>
    </row>
    <row r="5" spans="1:39" ht="11.25" hidden="1" customHeight="1">
      <c r="A5" s="3471"/>
      <c r="B5" s="3471"/>
      <c r="C5" s="3471"/>
      <c r="D5" s="3471"/>
      <c r="E5" s="3471"/>
      <c r="F5" s="3471"/>
      <c r="G5" s="3471"/>
    </row>
    <row r="6" spans="1:39" s="1643" customFormat="1" ht="18" hidden="1" customHeight="1" thickBot="1">
      <c r="A6" s="1638"/>
      <c r="B6" s="1638"/>
      <c r="C6" s="1638"/>
      <c r="D6" s="1638"/>
      <c r="E6" s="1638"/>
      <c r="F6" s="1638"/>
      <c r="G6" s="1639" t="s">
        <v>5</v>
      </c>
      <c r="H6" s="1640"/>
      <c r="I6" s="1641"/>
      <c r="J6" s="1641"/>
      <c r="K6" s="1641"/>
      <c r="L6" s="1641"/>
      <c r="M6" s="1641"/>
      <c r="N6" s="1641"/>
      <c r="O6" s="1641"/>
      <c r="P6" s="1641"/>
      <c r="Q6" s="1641"/>
      <c r="R6" s="1641"/>
      <c r="S6" s="1641"/>
      <c r="T6" s="1641"/>
      <c r="U6" s="1641"/>
      <c r="V6" s="1641"/>
      <c r="W6" s="1641"/>
      <c r="X6" s="1641"/>
      <c r="Y6" s="1641"/>
      <c r="Z6" s="1642"/>
      <c r="AA6" s="1642"/>
      <c r="AB6" s="1642"/>
      <c r="AC6" s="1641"/>
      <c r="AD6" s="1641"/>
      <c r="AE6" s="1642"/>
    </row>
    <row r="7" spans="1:39" ht="27.75" customHeight="1" thickBot="1">
      <c r="A7" s="1644" t="s">
        <v>0</v>
      </c>
      <c r="B7" s="1645" t="s">
        <v>30</v>
      </c>
      <c r="C7" s="1646" t="s">
        <v>2</v>
      </c>
      <c r="D7" s="1645" t="s">
        <v>727</v>
      </c>
      <c r="E7" s="1647" t="s">
        <v>728</v>
      </c>
      <c r="F7" s="1647" t="s">
        <v>324</v>
      </c>
      <c r="G7" s="1648" t="s">
        <v>326</v>
      </c>
      <c r="I7" s="1635" t="s">
        <v>729</v>
      </c>
      <c r="J7" s="1649" t="s">
        <v>730</v>
      </c>
      <c r="K7" s="1635" t="s">
        <v>731</v>
      </c>
      <c r="L7" s="1635" t="s">
        <v>732</v>
      </c>
      <c r="M7" s="1635" t="s">
        <v>733</v>
      </c>
      <c r="N7" s="1635" t="s">
        <v>734</v>
      </c>
      <c r="O7" s="1635" t="s">
        <v>735</v>
      </c>
      <c r="P7" s="1635" t="s">
        <v>736</v>
      </c>
      <c r="Q7" s="1635" t="s">
        <v>737</v>
      </c>
      <c r="R7" s="1635" t="s">
        <v>738</v>
      </c>
      <c r="S7" s="1635" t="s">
        <v>739</v>
      </c>
      <c r="T7" s="1635" t="s">
        <v>740</v>
      </c>
      <c r="U7" s="1649" t="s">
        <v>741</v>
      </c>
      <c r="V7" s="1635" t="s">
        <v>742</v>
      </c>
      <c r="W7" s="1635" t="s">
        <v>743</v>
      </c>
      <c r="X7" s="1635" t="s">
        <v>744</v>
      </c>
      <c r="Y7" s="1635" t="s">
        <v>745</v>
      </c>
      <c r="Z7" s="1635" t="s">
        <v>746</v>
      </c>
      <c r="AA7" s="1635" t="s">
        <v>747</v>
      </c>
      <c r="AB7" s="1635" t="s">
        <v>748</v>
      </c>
      <c r="AC7" s="1635" t="s">
        <v>749</v>
      </c>
      <c r="AD7" s="1635" t="s">
        <v>750</v>
      </c>
      <c r="AE7" s="1635" t="s">
        <v>751</v>
      </c>
      <c r="AF7" s="1650"/>
      <c r="AG7" s="1650"/>
      <c r="AH7" s="1650"/>
      <c r="AI7" s="1650"/>
      <c r="AJ7" s="1650"/>
      <c r="AK7" s="1650"/>
      <c r="AL7" s="1650"/>
      <c r="AM7" s="1650"/>
    </row>
    <row r="8" spans="1:39" ht="15" customHeight="1" thickBot="1">
      <c r="A8" s="1651" t="s">
        <v>327</v>
      </c>
      <c r="B8" s="1652" t="s">
        <v>328</v>
      </c>
      <c r="C8" s="1653" t="s">
        <v>329</v>
      </c>
      <c r="D8" s="1651" t="s">
        <v>330</v>
      </c>
      <c r="E8" s="1654" t="s">
        <v>331</v>
      </c>
      <c r="F8" s="1654" t="s">
        <v>331</v>
      </c>
      <c r="G8" s="1655" t="s">
        <v>332</v>
      </c>
    </row>
    <row r="9" spans="1:39" ht="0.75" hidden="1" customHeight="1" thickBot="1">
      <c r="A9" s="1651"/>
      <c r="B9" s="1656"/>
      <c r="C9" s="1657"/>
      <c r="D9" s="1657"/>
      <c r="E9" s="1658"/>
      <c r="F9" s="1658"/>
      <c r="G9" s="1659"/>
    </row>
    <row r="10" spans="1:39" ht="17.100000000000001" customHeight="1" thickBot="1">
      <c r="A10" s="1660" t="s">
        <v>6</v>
      </c>
      <c r="B10" s="1661"/>
      <c r="C10" s="1662"/>
      <c r="D10" s="1663" t="s">
        <v>752</v>
      </c>
      <c r="E10" s="1664">
        <f>SUM(E11,E47,E72,E102,E137,E157,E153)</f>
        <v>42235642</v>
      </c>
      <c r="F10" s="1664">
        <f t="shared" ref="F10" si="0">SUM(F11,F47,F72,F102,F137,F157,F153)</f>
        <v>47887084</v>
      </c>
      <c r="G10" s="1665">
        <f>F10/E10</f>
        <v>1.1338074131796079</v>
      </c>
      <c r="H10" s="1635" t="s">
        <v>753</v>
      </c>
      <c r="I10" s="1636">
        <f>SUM(I14:I2596)-I916-I917</f>
        <v>127116738</v>
      </c>
      <c r="J10" s="1636">
        <f>SUM(J14:J2596)</f>
        <v>18747646</v>
      </c>
      <c r="K10" s="1636">
        <f>SUM(K14:K2596)</f>
        <v>129981667</v>
      </c>
      <c r="L10" s="1636">
        <f>SUM(L15:L2585)</f>
        <v>71000</v>
      </c>
      <c r="M10" s="1636">
        <f>SUM(M14:M2596)</f>
        <v>8144</v>
      </c>
      <c r="N10" s="1636">
        <f>SUM(N14:N2596)</f>
        <v>15450</v>
      </c>
      <c r="O10" s="1636">
        <f>SUM(O14:O2596)-O699-O700-O702-O704-O913-O914-O915</f>
        <v>25915414</v>
      </c>
      <c r="P10" s="1636">
        <f>SUM(P15:P2596)</f>
        <v>250000</v>
      </c>
      <c r="Q10" s="1636">
        <f>SUM(Q14:Q2596)</f>
        <v>1789777</v>
      </c>
      <c r="R10" s="1636">
        <f>R2597</f>
        <v>38285213</v>
      </c>
      <c r="S10" s="1636">
        <f>S2597</f>
        <v>10565308</v>
      </c>
      <c r="T10" s="1636">
        <f>SUM(T14:T2596)</f>
        <v>1650000</v>
      </c>
      <c r="U10" s="1636">
        <f>SUM(U13:U2596)</f>
        <v>494000</v>
      </c>
      <c r="V10" s="1636">
        <f>SUM(V12:V2596)-V779-V1160-V1162-V1163-V1165-V1166-V1168-V1169-V1170</f>
        <v>12520706</v>
      </c>
      <c r="W10" s="1636">
        <f>SUM(W12:W2596)-W1161-W1162</f>
        <v>70268622</v>
      </c>
      <c r="X10" s="1636">
        <f>SUM(X12:X2596)-X1161-X1162</f>
        <v>37674538</v>
      </c>
      <c r="Y10" s="1636">
        <f>SUM(Y12:Y2596)-Y1161-Y1162</f>
        <v>1857675</v>
      </c>
      <c r="Z10" s="1636">
        <f>SUM(Z12:Z2596)-Z1161-Z1162</f>
        <v>1372829</v>
      </c>
      <c r="AA10" s="1636">
        <f>SUM(AA12:AA2596)-AA290-AA312-AA313-AA314-AA315-AA316-AA317-AA397-AA398-AA399-AA400-AA401-AA402-AA403-AA404-AA405-AA1159-AA1161-AA1162-AA1167-AA1168</f>
        <v>797640866</v>
      </c>
      <c r="AB10" s="1636">
        <f>SUM(AB12:AB2596)-AB1002</f>
        <v>25231153</v>
      </c>
      <c r="AC10" s="1636">
        <f>SUM(AC12:AC2596)</f>
        <v>80804012</v>
      </c>
      <c r="AD10" s="1636">
        <f>SUM(AD12:AD2596)-AD2387-AD2388</f>
        <v>93544461</v>
      </c>
      <c r="AE10" s="1636">
        <f>SUM(AE12:AE2596)</f>
        <v>86048000</v>
      </c>
    </row>
    <row r="11" spans="1:39" ht="17.100000000000001" customHeight="1" thickBot="1">
      <c r="A11" s="1666"/>
      <c r="B11" s="1667" t="s">
        <v>336</v>
      </c>
      <c r="C11" s="1668"/>
      <c r="D11" s="1669" t="s">
        <v>754</v>
      </c>
      <c r="E11" s="1670">
        <f>E12+E44</f>
        <v>15148488</v>
      </c>
      <c r="F11" s="1670">
        <f>F12+F44</f>
        <v>16805767</v>
      </c>
      <c r="G11" s="1671">
        <f t="shared" ref="G11:G74" si="1">F11/E11</f>
        <v>1.1094022716986671</v>
      </c>
    </row>
    <row r="12" spans="1:39" ht="17.100000000000001" customHeight="1">
      <c r="A12" s="1666"/>
      <c r="B12" s="3467"/>
      <c r="C12" s="3472" t="s">
        <v>755</v>
      </c>
      <c r="D12" s="3472"/>
      <c r="E12" s="1672">
        <f>E13+E41</f>
        <v>14906488</v>
      </c>
      <c r="F12" s="1672">
        <f>F13+F41</f>
        <v>16005767</v>
      </c>
      <c r="G12" s="1673">
        <f t="shared" si="1"/>
        <v>1.0737450028470825</v>
      </c>
    </row>
    <row r="13" spans="1:39" ht="17.100000000000001" customHeight="1">
      <c r="A13" s="1666"/>
      <c r="B13" s="3467"/>
      <c r="C13" s="3473" t="s">
        <v>756</v>
      </c>
      <c r="D13" s="3473"/>
      <c r="E13" s="1674">
        <f>E14+E21</f>
        <v>14793000</v>
      </c>
      <c r="F13" s="1674">
        <f>F14+F21</f>
        <v>15888740</v>
      </c>
      <c r="G13" s="1675">
        <f t="shared" si="1"/>
        <v>1.0740715203136619</v>
      </c>
    </row>
    <row r="14" spans="1:39" ht="17.100000000000001" customHeight="1">
      <c r="A14" s="1666"/>
      <c r="B14" s="3467"/>
      <c r="C14" s="3474" t="s">
        <v>757</v>
      </c>
      <c r="D14" s="3474"/>
      <c r="E14" s="1676">
        <f>SUM(E15:E20)</f>
        <v>11577432</v>
      </c>
      <c r="F14" s="1676">
        <f>SUM(F15:F20)</f>
        <v>12426840</v>
      </c>
      <c r="G14" s="1677">
        <f>F14/E14</f>
        <v>1.0733675654497474</v>
      </c>
    </row>
    <row r="15" spans="1:39" ht="17.100000000000001" customHeight="1">
      <c r="A15" s="1666"/>
      <c r="B15" s="1678"/>
      <c r="C15" s="1679" t="s">
        <v>758</v>
      </c>
      <c r="D15" s="1680" t="s">
        <v>759</v>
      </c>
      <c r="E15" s="1681">
        <v>8882675</v>
      </c>
      <c r="F15" s="1681">
        <f>H15</f>
        <v>9550979</v>
      </c>
      <c r="G15" s="1682">
        <f t="shared" si="1"/>
        <v>1.07523679522216</v>
      </c>
      <c r="H15" s="1635">
        <f>SUM(I15:AE15)</f>
        <v>9550979</v>
      </c>
      <c r="R15" s="1636">
        <v>9550979</v>
      </c>
    </row>
    <row r="16" spans="1:39" ht="17.100000000000001" customHeight="1">
      <c r="A16" s="1666"/>
      <c r="B16" s="1678"/>
      <c r="C16" s="1679" t="s">
        <v>760</v>
      </c>
      <c r="D16" s="1680" t="s">
        <v>761</v>
      </c>
      <c r="E16" s="1681">
        <v>649340</v>
      </c>
      <c r="F16" s="1681">
        <f t="shared" ref="F16:F20" si="2">H16</f>
        <v>686820</v>
      </c>
      <c r="G16" s="1682">
        <f t="shared" si="1"/>
        <v>1.0577201466104045</v>
      </c>
      <c r="H16" s="1635">
        <f t="shared" ref="H16:H79" si="3">SUM(I16:AE16)</f>
        <v>686820</v>
      </c>
      <c r="R16" s="1636">
        <v>686820</v>
      </c>
    </row>
    <row r="17" spans="1:18" ht="17.100000000000001" customHeight="1">
      <c r="A17" s="1666"/>
      <c r="B17" s="1678"/>
      <c r="C17" s="1679" t="s">
        <v>762</v>
      </c>
      <c r="D17" s="1680" t="s">
        <v>763</v>
      </c>
      <c r="E17" s="1681">
        <v>1588158</v>
      </c>
      <c r="F17" s="1681">
        <f t="shared" si="2"/>
        <v>1745133</v>
      </c>
      <c r="G17" s="1682">
        <f t="shared" si="1"/>
        <v>1.0988409213692845</v>
      </c>
      <c r="H17" s="1635">
        <f t="shared" si="3"/>
        <v>1745133</v>
      </c>
      <c r="R17" s="1636">
        <v>1745133</v>
      </c>
    </row>
    <row r="18" spans="1:18" ht="26.25" customHeight="1">
      <c r="A18" s="1666"/>
      <c r="B18" s="1678"/>
      <c r="C18" s="1679" t="s">
        <v>764</v>
      </c>
      <c r="D18" s="1680" t="s">
        <v>1440</v>
      </c>
      <c r="E18" s="1681">
        <v>181259</v>
      </c>
      <c r="F18" s="1681">
        <f t="shared" si="2"/>
        <v>247548</v>
      </c>
      <c r="G18" s="1682">
        <f t="shared" si="1"/>
        <v>1.3657142541887575</v>
      </c>
      <c r="H18" s="1635">
        <f t="shared" si="3"/>
        <v>247548</v>
      </c>
      <c r="R18" s="1636">
        <v>247548</v>
      </c>
    </row>
    <row r="19" spans="1:18" ht="17.100000000000001" customHeight="1">
      <c r="A19" s="1666"/>
      <c r="B19" s="1678"/>
      <c r="C19" s="1679" t="s">
        <v>766</v>
      </c>
      <c r="D19" s="1680" t="s">
        <v>767</v>
      </c>
      <c r="E19" s="1681">
        <v>226000</v>
      </c>
      <c r="F19" s="1681">
        <f t="shared" si="2"/>
        <v>142260</v>
      </c>
      <c r="G19" s="1682">
        <f t="shared" si="1"/>
        <v>0.62946902654867254</v>
      </c>
      <c r="H19" s="1635">
        <f t="shared" si="3"/>
        <v>142260</v>
      </c>
      <c r="R19" s="1636">
        <v>142260</v>
      </c>
    </row>
    <row r="20" spans="1:18" ht="17.100000000000001" customHeight="1">
      <c r="A20" s="1666"/>
      <c r="B20" s="1678"/>
      <c r="C20" s="1679" t="s">
        <v>768</v>
      </c>
      <c r="D20" s="1680" t="s">
        <v>769</v>
      </c>
      <c r="E20" s="1681">
        <v>50000</v>
      </c>
      <c r="F20" s="1681">
        <f t="shared" si="2"/>
        <v>54100</v>
      </c>
      <c r="G20" s="1682">
        <f t="shared" si="1"/>
        <v>1.0820000000000001</v>
      </c>
      <c r="H20" s="1635">
        <f t="shared" si="3"/>
        <v>54100</v>
      </c>
      <c r="R20" s="1636">
        <v>54100</v>
      </c>
    </row>
    <row r="21" spans="1:18" ht="17.100000000000001" customHeight="1">
      <c r="A21" s="1666"/>
      <c r="B21" s="1678"/>
      <c r="C21" s="3475" t="s">
        <v>770</v>
      </c>
      <c r="D21" s="3476"/>
      <c r="E21" s="1676">
        <f>SUM(E22:E39)</f>
        <v>3215568</v>
      </c>
      <c r="F21" s="1676">
        <f>SUM(F22:F39)</f>
        <v>3461900</v>
      </c>
      <c r="G21" s="1677">
        <f t="shared" si="1"/>
        <v>1.0766060615107502</v>
      </c>
      <c r="H21" s="1635">
        <f t="shared" si="3"/>
        <v>0</v>
      </c>
    </row>
    <row r="22" spans="1:18" ht="17.100000000000001" customHeight="1">
      <c r="A22" s="1666"/>
      <c r="B22" s="1678"/>
      <c r="C22" s="1679" t="s">
        <v>771</v>
      </c>
      <c r="D22" s="1680" t="s">
        <v>772</v>
      </c>
      <c r="E22" s="1681">
        <v>120000</v>
      </c>
      <c r="F22" s="1681">
        <f>H22</f>
        <v>144000</v>
      </c>
      <c r="G22" s="1682">
        <f t="shared" si="1"/>
        <v>1.2</v>
      </c>
      <c r="H22" s="1635">
        <f t="shared" si="3"/>
        <v>144000</v>
      </c>
      <c r="R22" s="1636">
        <v>144000</v>
      </c>
    </row>
    <row r="23" spans="1:18" ht="17.100000000000001" customHeight="1">
      <c r="A23" s="1666"/>
      <c r="B23" s="1678"/>
      <c r="C23" s="1679" t="s">
        <v>773</v>
      </c>
      <c r="D23" s="1680" t="s">
        <v>774</v>
      </c>
      <c r="E23" s="1681">
        <v>1785880</v>
      </c>
      <c r="F23" s="1681">
        <f t="shared" ref="F23:F39" si="4">H23</f>
        <v>1964600</v>
      </c>
      <c r="G23" s="1682">
        <f t="shared" si="1"/>
        <v>1.1000739131408606</v>
      </c>
      <c r="H23" s="1635">
        <f t="shared" si="3"/>
        <v>1964600</v>
      </c>
      <c r="R23" s="1636">
        <v>1964600</v>
      </c>
    </row>
    <row r="24" spans="1:18" ht="17.100000000000001" customHeight="1">
      <c r="A24" s="1666"/>
      <c r="B24" s="1678"/>
      <c r="C24" s="1679" t="s">
        <v>775</v>
      </c>
      <c r="D24" s="1680" t="s">
        <v>776</v>
      </c>
      <c r="E24" s="1681">
        <v>6500</v>
      </c>
      <c r="F24" s="1681">
        <f t="shared" si="4"/>
        <v>6500</v>
      </c>
      <c r="G24" s="1682">
        <f t="shared" si="1"/>
        <v>1</v>
      </c>
      <c r="H24" s="1635">
        <f t="shared" si="3"/>
        <v>6500</v>
      </c>
      <c r="R24" s="1636">
        <v>6500</v>
      </c>
    </row>
    <row r="25" spans="1:18" ht="17.100000000000001" customHeight="1">
      <c r="A25" s="1666"/>
      <c r="B25" s="1678"/>
      <c r="C25" s="1679" t="s">
        <v>777</v>
      </c>
      <c r="D25" s="1680" t="s">
        <v>778</v>
      </c>
      <c r="E25" s="1681">
        <v>160000</v>
      </c>
      <c r="F25" s="1681">
        <f t="shared" si="4"/>
        <v>160000</v>
      </c>
      <c r="G25" s="1682">
        <f t="shared" si="1"/>
        <v>1</v>
      </c>
      <c r="H25" s="1635">
        <f t="shared" si="3"/>
        <v>160000</v>
      </c>
      <c r="R25" s="1636">
        <v>160000</v>
      </c>
    </row>
    <row r="26" spans="1:18" ht="17.100000000000001" customHeight="1">
      <c r="A26" s="1666"/>
      <c r="B26" s="1678"/>
      <c r="C26" s="1679" t="s">
        <v>779</v>
      </c>
      <c r="D26" s="1680" t="s">
        <v>780</v>
      </c>
      <c r="E26" s="1681">
        <v>158500</v>
      </c>
      <c r="F26" s="1681">
        <f t="shared" si="4"/>
        <v>184300</v>
      </c>
      <c r="G26" s="1682">
        <f t="shared" si="1"/>
        <v>1.1627760252365931</v>
      </c>
      <c r="H26" s="1635">
        <f t="shared" si="3"/>
        <v>184300</v>
      </c>
      <c r="R26" s="1636">
        <v>184300</v>
      </c>
    </row>
    <row r="27" spans="1:18" ht="17.100000000000001" customHeight="1">
      <c r="A27" s="1666"/>
      <c r="B27" s="1678"/>
      <c r="C27" s="1679" t="s">
        <v>781</v>
      </c>
      <c r="D27" s="1680" t="s">
        <v>782</v>
      </c>
      <c r="E27" s="1681">
        <v>22600</v>
      </c>
      <c r="F27" s="1681">
        <f t="shared" si="4"/>
        <v>18200</v>
      </c>
      <c r="G27" s="1682">
        <f t="shared" si="1"/>
        <v>0.80530973451327437</v>
      </c>
      <c r="H27" s="1635">
        <f t="shared" si="3"/>
        <v>18200</v>
      </c>
      <c r="R27" s="1636">
        <v>18200</v>
      </c>
    </row>
    <row r="28" spans="1:18" ht="17.100000000000001" customHeight="1">
      <c r="A28" s="1666"/>
      <c r="B28" s="1678"/>
      <c r="C28" s="1679" t="s">
        <v>783</v>
      </c>
      <c r="D28" s="1680" t="s">
        <v>784</v>
      </c>
      <c r="E28" s="1681">
        <v>321690</v>
      </c>
      <c r="F28" s="1681">
        <f t="shared" si="4"/>
        <v>407740</v>
      </c>
      <c r="G28" s="1682">
        <f t="shared" si="1"/>
        <v>1.2674935496906961</v>
      </c>
      <c r="H28" s="1635">
        <f t="shared" si="3"/>
        <v>407740</v>
      </c>
      <c r="R28" s="1636">
        <v>407740</v>
      </c>
    </row>
    <row r="29" spans="1:18" ht="16.5" customHeight="1">
      <c r="A29" s="1666"/>
      <c r="B29" s="1678"/>
      <c r="C29" s="1679" t="s">
        <v>785</v>
      </c>
      <c r="D29" s="1680" t="s">
        <v>786</v>
      </c>
      <c r="E29" s="1681">
        <v>43677</v>
      </c>
      <c r="F29" s="1681">
        <f t="shared" si="4"/>
        <v>45150</v>
      </c>
      <c r="G29" s="1682">
        <f t="shared" si="1"/>
        <v>1.0337248437392679</v>
      </c>
      <c r="H29" s="1635">
        <f t="shared" si="3"/>
        <v>45150</v>
      </c>
      <c r="R29" s="1636">
        <v>45150</v>
      </c>
    </row>
    <row r="30" spans="1:18" ht="16.5" customHeight="1">
      <c r="A30" s="1666"/>
      <c r="B30" s="1678"/>
      <c r="C30" s="1679" t="s">
        <v>787</v>
      </c>
      <c r="D30" s="1680" t="s">
        <v>788</v>
      </c>
      <c r="E30" s="1681">
        <v>27289</v>
      </c>
      <c r="F30" s="1681">
        <f t="shared" si="4"/>
        <v>9160</v>
      </c>
      <c r="G30" s="1682">
        <f t="shared" si="1"/>
        <v>0.33566638572318519</v>
      </c>
      <c r="H30" s="1635">
        <f t="shared" si="3"/>
        <v>9160</v>
      </c>
      <c r="R30" s="1636">
        <v>9160</v>
      </c>
    </row>
    <row r="31" spans="1:18" ht="27.75" customHeight="1">
      <c r="A31" s="1666"/>
      <c r="B31" s="1678"/>
      <c r="C31" s="1679" t="s">
        <v>789</v>
      </c>
      <c r="D31" s="1680" t="s">
        <v>790</v>
      </c>
      <c r="E31" s="1681">
        <v>198517</v>
      </c>
      <c r="F31" s="1681">
        <f t="shared" si="4"/>
        <v>150000</v>
      </c>
      <c r="G31" s="1682">
        <f t="shared" si="1"/>
        <v>0.75560279472287006</v>
      </c>
      <c r="H31" s="1635">
        <f t="shared" si="3"/>
        <v>150000</v>
      </c>
      <c r="R31" s="1636">
        <v>150000</v>
      </c>
    </row>
    <row r="32" spans="1:18" ht="17.100000000000001" customHeight="1">
      <c r="A32" s="1666"/>
      <c r="B32" s="1678"/>
      <c r="C32" s="1679" t="s">
        <v>791</v>
      </c>
      <c r="D32" s="1680" t="s">
        <v>792</v>
      </c>
      <c r="E32" s="1681">
        <v>11299</v>
      </c>
      <c r="F32" s="1681">
        <f t="shared" si="4"/>
        <v>5000</v>
      </c>
      <c r="G32" s="1682">
        <f t="shared" si="1"/>
        <v>0.44251703690592087</v>
      </c>
      <c r="H32" s="1635">
        <f t="shared" si="3"/>
        <v>5000</v>
      </c>
      <c r="R32" s="1636">
        <v>5000</v>
      </c>
    </row>
    <row r="33" spans="1:18" ht="17.100000000000001" customHeight="1">
      <c r="A33" s="1666"/>
      <c r="B33" s="1678"/>
      <c r="C33" s="1679" t="s">
        <v>793</v>
      </c>
      <c r="D33" s="1680" t="s">
        <v>794</v>
      </c>
      <c r="E33" s="1681">
        <v>123400</v>
      </c>
      <c r="F33" s="1681">
        <f t="shared" si="4"/>
        <v>120000</v>
      </c>
      <c r="G33" s="1682">
        <f t="shared" si="1"/>
        <v>0.97244732576985415</v>
      </c>
      <c r="H33" s="1635">
        <f t="shared" si="3"/>
        <v>120000</v>
      </c>
      <c r="R33" s="1636">
        <v>120000</v>
      </c>
    </row>
    <row r="34" spans="1:18" ht="17.100000000000001" customHeight="1">
      <c r="A34" s="1666"/>
      <c r="B34" s="1678"/>
      <c r="C34" s="1679" t="s">
        <v>795</v>
      </c>
      <c r="D34" s="1680" t="s">
        <v>796</v>
      </c>
      <c r="E34" s="1681">
        <v>190682</v>
      </c>
      <c r="F34" s="1681">
        <f t="shared" si="4"/>
        <v>209210</v>
      </c>
      <c r="G34" s="1682">
        <f t="shared" si="1"/>
        <v>1.0971670110445664</v>
      </c>
      <c r="H34" s="1635">
        <f t="shared" si="3"/>
        <v>209210</v>
      </c>
      <c r="R34" s="1636">
        <v>209210</v>
      </c>
    </row>
    <row r="35" spans="1:18" ht="17.100000000000001" customHeight="1">
      <c r="A35" s="1666"/>
      <c r="B35" s="1678"/>
      <c r="C35" s="1679" t="s">
        <v>797</v>
      </c>
      <c r="D35" s="1680" t="s">
        <v>798</v>
      </c>
      <c r="E35" s="1681">
        <v>9483</v>
      </c>
      <c r="F35" s="1681">
        <f t="shared" si="4"/>
        <v>9500</v>
      </c>
      <c r="G35" s="1682">
        <f t="shared" si="1"/>
        <v>1.0017926816408309</v>
      </c>
      <c r="H35" s="1635">
        <f t="shared" si="3"/>
        <v>9500</v>
      </c>
      <c r="R35" s="1636">
        <v>9500</v>
      </c>
    </row>
    <row r="36" spans="1:18" ht="17.100000000000001" customHeight="1">
      <c r="A36" s="1666"/>
      <c r="B36" s="1678"/>
      <c r="C36" s="1679" t="s">
        <v>799</v>
      </c>
      <c r="D36" s="1680" t="s">
        <v>800</v>
      </c>
      <c r="E36" s="1681">
        <v>1000</v>
      </c>
      <c r="F36" s="1681">
        <f t="shared" si="4"/>
        <v>0</v>
      </c>
      <c r="G36" s="1682">
        <f t="shared" si="1"/>
        <v>0</v>
      </c>
      <c r="H36" s="1635">
        <f t="shared" si="3"/>
        <v>0</v>
      </c>
      <c r="R36" s="1636">
        <v>0</v>
      </c>
    </row>
    <row r="37" spans="1:18" ht="17.100000000000001" customHeight="1">
      <c r="A37" s="1666"/>
      <c r="B37" s="1678"/>
      <c r="C37" s="1679" t="s">
        <v>801</v>
      </c>
      <c r="D37" s="1680" t="s">
        <v>802</v>
      </c>
      <c r="E37" s="1681">
        <v>6000</v>
      </c>
      <c r="F37" s="1681">
        <f t="shared" si="4"/>
        <v>2540</v>
      </c>
      <c r="G37" s="1682">
        <f t="shared" si="1"/>
        <v>0.42333333333333334</v>
      </c>
      <c r="H37" s="1635">
        <f t="shared" si="3"/>
        <v>2540</v>
      </c>
      <c r="R37" s="1636">
        <v>2540</v>
      </c>
    </row>
    <row r="38" spans="1:18" ht="17.100000000000001" customHeight="1">
      <c r="A38" s="1666"/>
      <c r="B38" s="1678"/>
      <c r="C38" s="1679" t="s">
        <v>803</v>
      </c>
      <c r="D38" s="1680" t="s">
        <v>804</v>
      </c>
      <c r="E38" s="1681">
        <v>3801</v>
      </c>
      <c r="F38" s="1681">
        <f t="shared" si="4"/>
        <v>0</v>
      </c>
      <c r="G38" s="1682">
        <f t="shared" si="1"/>
        <v>0</v>
      </c>
      <c r="H38" s="1635">
        <f t="shared" si="3"/>
        <v>0</v>
      </c>
      <c r="R38" s="1636">
        <v>0</v>
      </c>
    </row>
    <row r="39" spans="1:18" ht="27" customHeight="1">
      <c r="A39" s="1666"/>
      <c r="B39" s="1678"/>
      <c r="C39" s="1679" t="s">
        <v>805</v>
      </c>
      <c r="D39" s="1680" t="s">
        <v>806</v>
      </c>
      <c r="E39" s="1681">
        <v>25250</v>
      </c>
      <c r="F39" s="1681">
        <f t="shared" si="4"/>
        <v>26000</v>
      </c>
      <c r="G39" s="1682">
        <f t="shared" si="1"/>
        <v>1.0297029702970297</v>
      </c>
      <c r="H39" s="1635">
        <f t="shared" si="3"/>
        <v>26000</v>
      </c>
      <c r="R39" s="1636">
        <v>26000</v>
      </c>
    </row>
    <row r="40" spans="1:18" ht="17.100000000000001" customHeight="1">
      <c r="A40" s="1666"/>
      <c r="B40" s="1678"/>
      <c r="C40" s="3482"/>
      <c r="D40" s="3482"/>
      <c r="E40" s="1683"/>
      <c r="F40" s="1683"/>
      <c r="G40" s="1684"/>
      <c r="H40" s="1635">
        <f t="shared" si="3"/>
        <v>0</v>
      </c>
    </row>
    <row r="41" spans="1:18" ht="17.100000000000001" customHeight="1">
      <c r="A41" s="1666"/>
      <c r="B41" s="1678"/>
      <c r="C41" s="3483" t="s">
        <v>807</v>
      </c>
      <c r="D41" s="3483"/>
      <c r="E41" s="1681">
        <f t="shared" ref="E41:F41" si="5">E42</f>
        <v>113488</v>
      </c>
      <c r="F41" s="1681">
        <f t="shared" si="5"/>
        <v>117027</v>
      </c>
      <c r="G41" s="1682">
        <f t="shared" si="1"/>
        <v>1.0311839137177499</v>
      </c>
      <c r="H41" s="1635">
        <f t="shared" si="3"/>
        <v>0</v>
      </c>
    </row>
    <row r="42" spans="1:18" ht="17.100000000000001" customHeight="1">
      <c r="A42" s="1666"/>
      <c r="B42" s="1678"/>
      <c r="C42" s="1685" t="s">
        <v>808</v>
      </c>
      <c r="D42" s="1686" t="s">
        <v>809</v>
      </c>
      <c r="E42" s="1687">
        <v>113488</v>
      </c>
      <c r="F42" s="1687">
        <f>H42</f>
        <v>117027</v>
      </c>
      <c r="G42" s="1675">
        <f t="shared" si="1"/>
        <v>1.0311839137177499</v>
      </c>
      <c r="H42" s="1635">
        <f t="shared" si="3"/>
        <v>117027</v>
      </c>
      <c r="R42" s="1636">
        <v>117027</v>
      </c>
    </row>
    <row r="43" spans="1:18" ht="17.100000000000001" customHeight="1">
      <c r="A43" s="1666"/>
      <c r="B43" s="1678"/>
      <c r="C43" s="3480"/>
      <c r="D43" s="3481"/>
      <c r="E43" s="1688"/>
      <c r="F43" s="1688"/>
      <c r="G43" s="1689"/>
      <c r="H43" s="1635">
        <f t="shared" si="3"/>
        <v>0</v>
      </c>
    </row>
    <row r="44" spans="1:18" ht="17.100000000000001" customHeight="1">
      <c r="A44" s="1666"/>
      <c r="B44" s="1678"/>
      <c r="C44" s="3484" t="s">
        <v>810</v>
      </c>
      <c r="D44" s="3485"/>
      <c r="E44" s="1690">
        <f t="shared" ref="E44:F44" si="6">E45</f>
        <v>242000</v>
      </c>
      <c r="F44" s="1690">
        <f t="shared" si="6"/>
        <v>800000</v>
      </c>
      <c r="G44" s="1691">
        <f t="shared" si="1"/>
        <v>3.3057851239669422</v>
      </c>
      <c r="H44" s="1635">
        <f t="shared" si="3"/>
        <v>0</v>
      </c>
    </row>
    <row r="45" spans="1:18" ht="17.100000000000001" customHeight="1">
      <c r="A45" s="1666"/>
      <c r="B45" s="1678"/>
      <c r="C45" s="3483" t="s">
        <v>811</v>
      </c>
      <c r="D45" s="3483"/>
      <c r="E45" s="1681">
        <f t="shared" ref="E45:F45" si="7">SUM(E46:E46)</f>
        <v>242000</v>
      </c>
      <c r="F45" s="1681">
        <f t="shared" si="7"/>
        <v>800000</v>
      </c>
      <c r="G45" s="1682">
        <f t="shared" si="1"/>
        <v>3.3057851239669422</v>
      </c>
      <c r="H45" s="1635">
        <f t="shared" si="3"/>
        <v>0</v>
      </c>
    </row>
    <row r="46" spans="1:18" ht="17.100000000000001" customHeight="1" thickBot="1">
      <c r="A46" s="1666"/>
      <c r="B46" s="1678"/>
      <c r="C46" s="1692" t="s">
        <v>812</v>
      </c>
      <c r="D46" s="1693" t="s">
        <v>813</v>
      </c>
      <c r="E46" s="1694">
        <v>242000</v>
      </c>
      <c r="F46" s="1694">
        <f>H46</f>
        <v>800000</v>
      </c>
      <c r="G46" s="1695">
        <f t="shared" si="1"/>
        <v>3.3057851239669422</v>
      </c>
      <c r="H46" s="1635">
        <f t="shared" si="3"/>
        <v>800000</v>
      </c>
      <c r="R46" s="1636">
        <v>800000</v>
      </c>
    </row>
    <row r="47" spans="1:18" ht="17.100000000000001" hidden="1" customHeight="1" thickBot="1">
      <c r="A47" s="1666"/>
      <c r="B47" s="1667" t="s">
        <v>814</v>
      </c>
      <c r="C47" s="1668"/>
      <c r="D47" s="1669" t="s">
        <v>815</v>
      </c>
      <c r="E47" s="1696">
        <f>E48</f>
        <v>0</v>
      </c>
      <c r="F47" s="1696">
        <f t="shared" ref="F47" si="8">F48</f>
        <v>0</v>
      </c>
      <c r="G47" s="1697" t="e">
        <f t="shared" si="1"/>
        <v>#DIV/0!</v>
      </c>
      <c r="H47" s="1635">
        <f t="shared" si="3"/>
        <v>0</v>
      </c>
    </row>
    <row r="48" spans="1:18" ht="17.100000000000001" hidden="1" customHeight="1">
      <c r="A48" s="1666"/>
      <c r="B48" s="1698"/>
      <c r="C48" s="3472" t="s">
        <v>755</v>
      </c>
      <c r="D48" s="3472"/>
      <c r="E48" s="1672">
        <f>E49+E70</f>
        <v>0</v>
      </c>
      <c r="F48" s="1672">
        <f t="shared" ref="F48" si="9">F49+F70</f>
        <v>0</v>
      </c>
      <c r="G48" s="1673" t="e">
        <f t="shared" si="1"/>
        <v>#DIV/0!</v>
      </c>
      <c r="H48" s="1635">
        <f t="shared" si="3"/>
        <v>0</v>
      </c>
    </row>
    <row r="49" spans="1:8" ht="17.100000000000001" hidden="1" customHeight="1">
      <c r="A49" s="1666"/>
      <c r="B49" s="1678"/>
      <c r="C49" s="3473" t="s">
        <v>756</v>
      </c>
      <c r="D49" s="3473"/>
      <c r="E49" s="1681">
        <f>E50+E57</f>
        <v>0</v>
      </c>
      <c r="F49" s="1681">
        <f t="shared" ref="F49" si="10">F50+F57</f>
        <v>0</v>
      </c>
      <c r="G49" s="1682" t="e">
        <f t="shared" si="1"/>
        <v>#DIV/0!</v>
      </c>
      <c r="H49" s="1635">
        <f t="shared" si="3"/>
        <v>0</v>
      </c>
    </row>
    <row r="50" spans="1:8" ht="17.100000000000001" hidden="1" customHeight="1">
      <c r="A50" s="1666"/>
      <c r="B50" s="1678"/>
      <c r="C50" s="3474" t="s">
        <v>757</v>
      </c>
      <c r="D50" s="3474"/>
      <c r="E50" s="1676">
        <f t="shared" ref="E50:F50" si="11">SUM(E51:E55)</f>
        <v>0</v>
      </c>
      <c r="F50" s="1676">
        <f t="shared" si="11"/>
        <v>0</v>
      </c>
      <c r="G50" s="1677" t="e">
        <f t="shared" si="1"/>
        <v>#DIV/0!</v>
      </c>
      <c r="H50" s="1635">
        <f t="shared" si="3"/>
        <v>0</v>
      </c>
    </row>
    <row r="51" spans="1:8" ht="16.5" hidden="1" customHeight="1">
      <c r="A51" s="1666"/>
      <c r="B51" s="1678"/>
      <c r="C51" s="1679" t="s">
        <v>758</v>
      </c>
      <c r="D51" s="1680" t="s">
        <v>759</v>
      </c>
      <c r="E51" s="1681">
        <v>0</v>
      </c>
      <c r="F51" s="1681">
        <f>H51</f>
        <v>0</v>
      </c>
      <c r="G51" s="1682" t="e">
        <f t="shared" si="1"/>
        <v>#DIV/0!</v>
      </c>
      <c r="H51" s="1635">
        <f t="shared" si="3"/>
        <v>0</v>
      </c>
    </row>
    <row r="52" spans="1:8" ht="17.100000000000001" hidden="1" customHeight="1">
      <c r="A52" s="1666"/>
      <c r="B52" s="1678"/>
      <c r="C52" s="1679" t="s">
        <v>760</v>
      </c>
      <c r="D52" s="1680" t="s">
        <v>761</v>
      </c>
      <c r="E52" s="1681"/>
      <c r="F52" s="1681">
        <f t="shared" ref="F52:F55" si="12">H52</f>
        <v>0</v>
      </c>
      <c r="G52" s="1682" t="e">
        <f t="shared" si="1"/>
        <v>#DIV/0!</v>
      </c>
      <c r="H52" s="1635">
        <f t="shared" si="3"/>
        <v>0</v>
      </c>
    </row>
    <row r="53" spans="1:8" ht="17.100000000000001" hidden="1" customHeight="1">
      <c r="A53" s="1666"/>
      <c r="B53" s="1678"/>
      <c r="C53" s="1679" t="s">
        <v>762</v>
      </c>
      <c r="D53" s="1680" t="s">
        <v>763</v>
      </c>
      <c r="E53" s="1681"/>
      <c r="F53" s="1681">
        <f t="shared" si="12"/>
        <v>0</v>
      </c>
      <c r="G53" s="1682" t="e">
        <f t="shared" si="1"/>
        <v>#DIV/0!</v>
      </c>
      <c r="H53" s="1635">
        <f t="shared" si="3"/>
        <v>0</v>
      </c>
    </row>
    <row r="54" spans="1:8" ht="17.100000000000001" hidden="1" customHeight="1">
      <c r="A54" s="1666"/>
      <c r="B54" s="1678"/>
      <c r="C54" s="1679" t="s">
        <v>764</v>
      </c>
      <c r="D54" s="1680" t="s">
        <v>816</v>
      </c>
      <c r="E54" s="1681"/>
      <c r="F54" s="1681">
        <f t="shared" si="12"/>
        <v>0</v>
      </c>
      <c r="G54" s="1682" t="e">
        <f t="shared" si="1"/>
        <v>#DIV/0!</v>
      </c>
      <c r="H54" s="1635">
        <f t="shared" si="3"/>
        <v>0</v>
      </c>
    </row>
    <row r="55" spans="1:8" ht="17.100000000000001" hidden="1" customHeight="1">
      <c r="A55" s="1666"/>
      <c r="B55" s="1678"/>
      <c r="C55" s="1679" t="s">
        <v>766</v>
      </c>
      <c r="D55" s="1680" t="s">
        <v>767</v>
      </c>
      <c r="E55" s="1681"/>
      <c r="F55" s="1681">
        <f t="shared" si="12"/>
        <v>0</v>
      </c>
      <c r="G55" s="1682" t="e">
        <f t="shared" si="1"/>
        <v>#DIV/0!</v>
      </c>
      <c r="H55" s="1635">
        <f t="shared" si="3"/>
        <v>0</v>
      </c>
    </row>
    <row r="56" spans="1:8" ht="17.100000000000001" hidden="1" customHeight="1">
      <c r="A56" s="1666"/>
      <c r="B56" s="1678"/>
      <c r="C56" s="1699"/>
      <c r="D56" s="1699"/>
      <c r="E56" s="1700"/>
      <c r="F56" s="1700"/>
      <c r="G56" s="1701"/>
      <c r="H56" s="1635">
        <f t="shared" si="3"/>
        <v>0</v>
      </c>
    </row>
    <row r="57" spans="1:8" ht="17.100000000000001" hidden="1" customHeight="1">
      <c r="A57" s="1666"/>
      <c r="B57" s="1678"/>
      <c r="C57" s="3479" t="s">
        <v>770</v>
      </c>
      <c r="D57" s="3479"/>
      <c r="E57" s="1676">
        <f>SUM(E58:E68)</f>
        <v>0</v>
      </c>
      <c r="F57" s="1676">
        <f t="shared" ref="F57" si="13">SUM(F58:F68)</f>
        <v>0</v>
      </c>
      <c r="G57" s="1677" t="e">
        <f t="shared" si="1"/>
        <v>#DIV/0!</v>
      </c>
      <c r="H57" s="1635">
        <f t="shared" si="3"/>
        <v>0</v>
      </c>
    </row>
    <row r="58" spans="1:8" ht="17.100000000000001" hidden="1" customHeight="1">
      <c r="A58" s="1666"/>
      <c r="B58" s="1678"/>
      <c r="C58" s="1679" t="s">
        <v>773</v>
      </c>
      <c r="D58" s="1680" t="s">
        <v>774</v>
      </c>
      <c r="E58" s="1681"/>
      <c r="F58" s="1681">
        <f>H58</f>
        <v>0</v>
      </c>
      <c r="G58" s="1682" t="e">
        <f t="shared" si="1"/>
        <v>#DIV/0!</v>
      </c>
      <c r="H58" s="1635">
        <f t="shared" si="3"/>
        <v>0</v>
      </c>
    </row>
    <row r="59" spans="1:8" ht="17.100000000000001" hidden="1" customHeight="1">
      <c r="A59" s="1666"/>
      <c r="B59" s="1678"/>
      <c r="C59" s="1679" t="s">
        <v>777</v>
      </c>
      <c r="D59" s="1680" t="s">
        <v>778</v>
      </c>
      <c r="E59" s="1681"/>
      <c r="F59" s="1681">
        <f t="shared" ref="F59:F68" si="14">H59</f>
        <v>0</v>
      </c>
      <c r="G59" s="1682" t="e">
        <f t="shared" si="1"/>
        <v>#DIV/0!</v>
      </c>
      <c r="H59" s="1635">
        <f t="shared" si="3"/>
        <v>0</v>
      </c>
    </row>
    <row r="60" spans="1:8" ht="17.100000000000001" hidden="1" customHeight="1">
      <c r="A60" s="1666"/>
      <c r="B60" s="1678"/>
      <c r="C60" s="1679" t="s">
        <v>779</v>
      </c>
      <c r="D60" s="1680" t="s">
        <v>780</v>
      </c>
      <c r="E60" s="1681"/>
      <c r="F60" s="1681">
        <f t="shared" si="14"/>
        <v>0</v>
      </c>
      <c r="G60" s="1682" t="e">
        <f t="shared" si="1"/>
        <v>#DIV/0!</v>
      </c>
      <c r="H60" s="1635">
        <f t="shared" si="3"/>
        <v>0</v>
      </c>
    </row>
    <row r="61" spans="1:8" ht="17.100000000000001" hidden="1" customHeight="1">
      <c r="A61" s="1666"/>
      <c r="B61" s="1678"/>
      <c r="C61" s="1679" t="s">
        <v>783</v>
      </c>
      <c r="D61" s="1680" t="s">
        <v>784</v>
      </c>
      <c r="E61" s="1681"/>
      <c r="F61" s="1681">
        <f t="shared" si="14"/>
        <v>0</v>
      </c>
      <c r="G61" s="1682" t="e">
        <f t="shared" si="1"/>
        <v>#DIV/0!</v>
      </c>
      <c r="H61" s="1635">
        <f t="shared" si="3"/>
        <v>0</v>
      </c>
    </row>
    <row r="62" spans="1:8" ht="16.5" hidden="1" customHeight="1">
      <c r="A62" s="1666"/>
      <c r="B62" s="1678"/>
      <c r="C62" s="1679" t="s">
        <v>785</v>
      </c>
      <c r="D62" s="1680" t="s">
        <v>786</v>
      </c>
      <c r="E62" s="1681"/>
      <c r="F62" s="1681">
        <f t="shared" si="14"/>
        <v>0</v>
      </c>
      <c r="G62" s="1682" t="e">
        <f t="shared" si="1"/>
        <v>#DIV/0!</v>
      </c>
      <c r="H62" s="1635">
        <f t="shared" si="3"/>
        <v>0</v>
      </c>
    </row>
    <row r="63" spans="1:8" ht="27.75" hidden="1" customHeight="1">
      <c r="A63" s="1666"/>
      <c r="B63" s="1678"/>
      <c r="C63" s="1679" t="s">
        <v>789</v>
      </c>
      <c r="D63" s="1680" t="s">
        <v>790</v>
      </c>
      <c r="E63" s="1681"/>
      <c r="F63" s="1681">
        <f t="shared" si="14"/>
        <v>0</v>
      </c>
      <c r="G63" s="1682" t="e">
        <f t="shared" si="1"/>
        <v>#DIV/0!</v>
      </c>
      <c r="H63" s="1635">
        <f t="shared" si="3"/>
        <v>0</v>
      </c>
    </row>
    <row r="64" spans="1:8" ht="17.100000000000001" hidden="1" customHeight="1">
      <c r="A64" s="1666"/>
      <c r="B64" s="1678"/>
      <c r="C64" s="1679" t="s">
        <v>791</v>
      </c>
      <c r="D64" s="1680" t="s">
        <v>792</v>
      </c>
      <c r="E64" s="1681"/>
      <c r="F64" s="1681">
        <f t="shared" si="14"/>
        <v>0</v>
      </c>
      <c r="G64" s="1682" t="e">
        <f t="shared" si="1"/>
        <v>#DIV/0!</v>
      </c>
      <c r="H64" s="1635">
        <f t="shared" si="3"/>
        <v>0</v>
      </c>
    </row>
    <row r="65" spans="1:8" ht="17.100000000000001" hidden="1" customHeight="1">
      <c r="A65" s="1666"/>
      <c r="B65" s="1678"/>
      <c r="C65" s="1702" t="s">
        <v>793</v>
      </c>
      <c r="D65" s="1703" t="s">
        <v>794</v>
      </c>
      <c r="E65" s="1681"/>
      <c r="F65" s="1681">
        <f t="shared" si="14"/>
        <v>0</v>
      </c>
      <c r="G65" s="1682" t="e">
        <f t="shared" si="1"/>
        <v>#DIV/0!</v>
      </c>
      <c r="H65" s="1635">
        <f t="shared" si="3"/>
        <v>0</v>
      </c>
    </row>
    <row r="66" spans="1:8" ht="17.100000000000001" hidden="1" customHeight="1">
      <c r="A66" s="1666"/>
      <c r="B66" s="1678"/>
      <c r="C66" s="1702" t="s">
        <v>797</v>
      </c>
      <c r="D66" s="1703" t="s">
        <v>798</v>
      </c>
      <c r="E66" s="1681"/>
      <c r="F66" s="1681">
        <f t="shared" si="14"/>
        <v>0</v>
      </c>
      <c r="G66" s="1682" t="e">
        <f t="shared" si="1"/>
        <v>#DIV/0!</v>
      </c>
      <c r="H66" s="1635">
        <f t="shared" si="3"/>
        <v>0</v>
      </c>
    </row>
    <row r="67" spans="1:8" ht="17.100000000000001" hidden="1" customHeight="1">
      <c r="A67" s="1666"/>
      <c r="B67" s="1678"/>
      <c r="C67" s="1704" t="s">
        <v>801</v>
      </c>
      <c r="D67" s="1705" t="s">
        <v>802</v>
      </c>
      <c r="E67" s="1681"/>
      <c r="F67" s="1681">
        <f t="shared" si="14"/>
        <v>0</v>
      </c>
      <c r="G67" s="1682" t="e">
        <f t="shared" si="1"/>
        <v>#DIV/0!</v>
      </c>
      <c r="H67" s="1635">
        <f t="shared" si="3"/>
        <v>0</v>
      </c>
    </row>
    <row r="68" spans="1:8" ht="17.100000000000001" hidden="1" customHeight="1">
      <c r="A68" s="1666"/>
      <c r="B68" s="1678"/>
      <c r="C68" s="1702" t="s">
        <v>805</v>
      </c>
      <c r="D68" s="1703" t="s">
        <v>806</v>
      </c>
      <c r="E68" s="1681"/>
      <c r="F68" s="1681">
        <f t="shared" si="14"/>
        <v>0</v>
      </c>
      <c r="G68" s="1682" t="e">
        <f t="shared" si="1"/>
        <v>#DIV/0!</v>
      </c>
      <c r="H68" s="1635">
        <f t="shared" si="3"/>
        <v>0</v>
      </c>
    </row>
    <row r="69" spans="1:8" ht="17.100000000000001" hidden="1" customHeight="1">
      <c r="A69" s="1666"/>
      <c r="B69" s="1678"/>
      <c r="C69" s="1706"/>
      <c r="D69" s="1707"/>
      <c r="E69" s="1688"/>
      <c r="F69" s="1688"/>
      <c r="G69" s="1689"/>
      <c r="H69" s="1635">
        <f t="shared" si="3"/>
        <v>0</v>
      </c>
    </row>
    <row r="70" spans="1:8" ht="17.100000000000001" hidden="1" customHeight="1">
      <c r="A70" s="1666"/>
      <c r="B70" s="1678"/>
      <c r="C70" s="3483" t="s">
        <v>807</v>
      </c>
      <c r="D70" s="3483"/>
      <c r="E70" s="1681">
        <f t="shared" ref="E70:F70" si="15">E71</f>
        <v>0</v>
      </c>
      <c r="F70" s="1681">
        <f t="shared" si="15"/>
        <v>0</v>
      </c>
      <c r="G70" s="1682" t="e">
        <f t="shared" si="1"/>
        <v>#DIV/0!</v>
      </c>
      <c r="H70" s="1635">
        <f t="shared" si="3"/>
        <v>0</v>
      </c>
    </row>
    <row r="71" spans="1:8" ht="17.100000000000001" hidden="1" customHeight="1" thickBot="1">
      <c r="A71" s="1666"/>
      <c r="B71" s="1678"/>
      <c r="C71" s="1685" t="s">
        <v>808</v>
      </c>
      <c r="D71" s="1686" t="s">
        <v>809</v>
      </c>
      <c r="E71" s="1681"/>
      <c r="F71" s="1681">
        <f>H71</f>
        <v>0</v>
      </c>
      <c r="G71" s="1682" t="e">
        <f t="shared" si="1"/>
        <v>#DIV/0!</v>
      </c>
      <c r="H71" s="1635">
        <f t="shared" si="3"/>
        <v>0</v>
      </c>
    </row>
    <row r="72" spans="1:8" ht="17.100000000000001" hidden="1" customHeight="1" thickBot="1">
      <c r="A72" s="1666"/>
      <c r="B72" s="1667" t="s">
        <v>817</v>
      </c>
      <c r="C72" s="1668"/>
      <c r="D72" s="1669" t="s">
        <v>818</v>
      </c>
      <c r="E72" s="1708">
        <f>E73+E95</f>
        <v>0</v>
      </c>
      <c r="F72" s="1708">
        <f t="shared" ref="F72" si="16">F73+F95</f>
        <v>0</v>
      </c>
      <c r="G72" s="1709" t="e">
        <f t="shared" si="1"/>
        <v>#DIV/0!</v>
      </c>
      <c r="H72" s="1635">
        <f t="shared" si="3"/>
        <v>0</v>
      </c>
    </row>
    <row r="73" spans="1:8" ht="17.100000000000001" hidden="1" customHeight="1">
      <c r="A73" s="1666"/>
      <c r="B73" s="3467"/>
      <c r="C73" s="3472" t="s">
        <v>755</v>
      </c>
      <c r="D73" s="3472"/>
      <c r="E73" s="1672">
        <f>E74+E92</f>
        <v>0</v>
      </c>
      <c r="F73" s="1672">
        <f t="shared" ref="F73" si="17">F74+F92</f>
        <v>0</v>
      </c>
      <c r="G73" s="1673" t="e">
        <f t="shared" si="1"/>
        <v>#DIV/0!</v>
      </c>
      <c r="H73" s="1635">
        <f t="shared" si="3"/>
        <v>0</v>
      </c>
    </row>
    <row r="74" spans="1:8" ht="17.100000000000001" hidden="1" customHeight="1">
      <c r="A74" s="1666"/>
      <c r="B74" s="3467"/>
      <c r="C74" s="3473" t="s">
        <v>756</v>
      </c>
      <c r="D74" s="3473"/>
      <c r="E74" s="1681">
        <f t="shared" ref="E74:F74" si="18">E75+E81</f>
        <v>0</v>
      </c>
      <c r="F74" s="1681">
        <f t="shared" si="18"/>
        <v>0</v>
      </c>
      <c r="G74" s="1682" t="e">
        <f t="shared" si="1"/>
        <v>#DIV/0!</v>
      </c>
      <c r="H74" s="1635">
        <f t="shared" si="3"/>
        <v>0</v>
      </c>
    </row>
    <row r="75" spans="1:8" ht="17.100000000000001" hidden="1" customHeight="1">
      <c r="A75" s="1666"/>
      <c r="B75" s="3467"/>
      <c r="C75" s="3474" t="s">
        <v>757</v>
      </c>
      <c r="D75" s="3474"/>
      <c r="E75" s="1676">
        <f t="shared" ref="E75:F75" si="19">E76+E78+E79+E77</f>
        <v>0</v>
      </c>
      <c r="F75" s="1676">
        <f t="shared" si="19"/>
        <v>0</v>
      </c>
      <c r="G75" s="1677" t="e">
        <f t="shared" ref="G75:G140" si="20">F75/E75</f>
        <v>#DIV/0!</v>
      </c>
      <c r="H75" s="1635">
        <f t="shared" si="3"/>
        <v>0</v>
      </c>
    </row>
    <row r="76" spans="1:8" ht="18.75" hidden="1" customHeight="1">
      <c r="A76" s="1666"/>
      <c r="B76" s="3467"/>
      <c r="C76" s="1679" t="s">
        <v>758</v>
      </c>
      <c r="D76" s="1680" t="s">
        <v>759</v>
      </c>
      <c r="E76" s="1687">
        <v>0</v>
      </c>
      <c r="F76" s="1687">
        <f>H76</f>
        <v>0</v>
      </c>
      <c r="G76" s="1675" t="e">
        <f t="shared" si="20"/>
        <v>#DIV/0!</v>
      </c>
      <c r="H76" s="1635">
        <f t="shared" si="3"/>
        <v>0</v>
      </c>
    </row>
    <row r="77" spans="1:8" ht="17.100000000000001" hidden="1" customHeight="1">
      <c r="A77" s="1666"/>
      <c r="B77" s="3467"/>
      <c r="C77" s="1679" t="s">
        <v>760</v>
      </c>
      <c r="D77" s="1680" t="s">
        <v>761</v>
      </c>
      <c r="E77" s="1687"/>
      <c r="F77" s="1687">
        <f t="shared" ref="F77:F79" si="21">H77</f>
        <v>0</v>
      </c>
      <c r="G77" s="1675" t="e">
        <f t="shared" si="20"/>
        <v>#DIV/0!</v>
      </c>
      <c r="H77" s="1635">
        <f t="shared" si="3"/>
        <v>0</v>
      </c>
    </row>
    <row r="78" spans="1:8" ht="17.100000000000001" hidden="1" customHeight="1">
      <c r="A78" s="1666"/>
      <c r="B78" s="3467"/>
      <c r="C78" s="1679" t="s">
        <v>762</v>
      </c>
      <c r="D78" s="1680" t="s">
        <v>763</v>
      </c>
      <c r="E78" s="1687"/>
      <c r="F78" s="1687">
        <f t="shared" si="21"/>
        <v>0</v>
      </c>
      <c r="G78" s="1675" t="e">
        <f t="shared" si="20"/>
        <v>#DIV/0!</v>
      </c>
      <c r="H78" s="1635">
        <f t="shared" si="3"/>
        <v>0</v>
      </c>
    </row>
    <row r="79" spans="1:8" ht="17.100000000000001" hidden="1" customHeight="1">
      <c r="A79" s="1666"/>
      <c r="B79" s="3467"/>
      <c r="C79" s="1679" t="s">
        <v>764</v>
      </c>
      <c r="D79" s="1680" t="s">
        <v>816</v>
      </c>
      <c r="E79" s="1687"/>
      <c r="F79" s="1687">
        <f t="shared" si="21"/>
        <v>0</v>
      </c>
      <c r="G79" s="1675" t="e">
        <f t="shared" si="20"/>
        <v>#DIV/0!</v>
      </c>
      <c r="H79" s="1635">
        <f t="shared" si="3"/>
        <v>0</v>
      </c>
    </row>
    <row r="80" spans="1:8" ht="17.100000000000001" hidden="1" customHeight="1">
      <c r="A80" s="1666"/>
      <c r="B80" s="3467"/>
      <c r="C80" s="1699"/>
      <c r="D80" s="1710"/>
      <c r="E80" s="1711"/>
      <c r="F80" s="1711"/>
      <c r="G80" s="1712"/>
      <c r="H80" s="1635">
        <f t="shared" ref="H80:H145" si="22">SUM(I80:AE80)</f>
        <v>0</v>
      </c>
    </row>
    <row r="81" spans="1:8" ht="17.100000000000001" hidden="1" customHeight="1">
      <c r="A81" s="1666"/>
      <c r="B81" s="3467"/>
      <c r="C81" s="3478" t="s">
        <v>770</v>
      </c>
      <c r="D81" s="3479"/>
      <c r="E81" s="1713">
        <f>SUM(E82:E90)</f>
        <v>0</v>
      </c>
      <c r="F81" s="1713">
        <f t="shared" ref="F81" si="23">SUM(F82:F90)</f>
        <v>0</v>
      </c>
      <c r="G81" s="1714" t="e">
        <f t="shared" si="20"/>
        <v>#DIV/0!</v>
      </c>
      <c r="H81" s="1635">
        <f t="shared" si="22"/>
        <v>0</v>
      </c>
    </row>
    <row r="82" spans="1:8" ht="17.100000000000001" hidden="1" customHeight="1">
      <c r="A82" s="1666"/>
      <c r="B82" s="3467"/>
      <c r="C82" s="1715" t="s">
        <v>773</v>
      </c>
      <c r="D82" s="1680" t="s">
        <v>774</v>
      </c>
      <c r="E82" s="1681"/>
      <c r="F82" s="1681">
        <f>H82</f>
        <v>0</v>
      </c>
      <c r="G82" s="1682" t="e">
        <f t="shared" si="20"/>
        <v>#DIV/0!</v>
      </c>
      <c r="H82" s="1635">
        <f t="shared" si="22"/>
        <v>0</v>
      </c>
    </row>
    <row r="83" spans="1:8" ht="17.100000000000001" hidden="1" customHeight="1">
      <c r="A83" s="1666"/>
      <c r="B83" s="3467"/>
      <c r="C83" s="1679" t="s">
        <v>777</v>
      </c>
      <c r="D83" s="1680" t="s">
        <v>778</v>
      </c>
      <c r="E83" s="1687"/>
      <c r="F83" s="1687">
        <f t="shared" ref="F83:F90" si="24">H83</f>
        <v>0</v>
      </c>
      <c r="G83" s="1675" t="e">
        <f t="shared" si="20"/>
        <v>#DIV/0!</v>
      </c>
      <c r="H83" s="1635">
        <f t="shared" si="22"/>
        <v>0</v>
      </c>
    </row>
    <row r="84" spans="1:8" ht="17.100000000000001" hidden="1" customHeight="1">
      <c r="A84" s="1666"/>
      <c r="B84" s="3467"/>
      <c r="C84" s="1679" t="s">
        <v>779</v>
      </c>
      <c r="D84" s="1680" t="s">
        <v>780</v>
      </c>
      <c r="E84" s="1687"/>
      <c r="F84" s="1687">
        <f t="shared" si="24"/>
        <v>0</v>
      </c>
      <c r="G84" s="1675" t="e">
        <f t="shared" si="20"/>
        <v>#DIV/0!</v>
      </c>
      <c r="H84" s="1635">
        <f t="shared" si="22"/>
        <v>0</v>
      </c>
    </row>
    <row r="85" spans="1:8" ht="17.100000000000001" hidden="1" customHeight="1">
      <c r="A85" s="1666"/>
      <c r="B85" s="3467"/>
      <c r="C85" s="1679" t="s">
        <v>781</v>
      </c>
      <c r="D85" s="1680" t="s">
        <v>782</v>
      </c>
      <c r="E85" s="1687"/>
      <c r="F85" s="1687">
        <f t="shared" si="24"/>
        <v>0</v>
      </c>
      <c r="G85" s="1675" t="e">
        <f t="shared" si="20"/>
        <v>#DIV/0!</v>
      </c>
      <c r="H85" s="1635">
        <f t="shared" si="22"/>
        <v>0</v>
      </c>
    </row>
    <row r="86" spans="1:8" ht="17.100000000000001" hidden="1" customHeight="1">
      <c r="A86" s="1666"/>
      <c r="B86" s="3467"/>
      <c r="C86" s="1679" t="s">
        <v>783</v>
      </c>
      <c r="D86" s="1680" t="s">
        <v>784</v>
      </c>
      <c r="E86" s="1687"/>
      <c r="F86" s="1687">
        <f t="shared" si="24"/>
        <v>0</v>
      </c>
      <c r="G86" s="1675" t="e">
        <f t="shared" si="20"/>
        <v>#DIV/0!</v>
      </c>
      <c r="H86" s="1635">
        <f t="shared" si="22"/>
        <v>0</v>
      </c>
    </row>
    <row r="87" spans="1:8" ht="16.5" hidden="1" customHeight="1">
      <c r="A87" s="1666"/>
      <c r="B87" s="3467"/>
      <c r="C87" s="1679" t="s">
        <v>785</v>
      </c>
      <c r="D87" s="1680" t="s">
        <v>786</v>
      </c>
      <c r="E87" s="1687"/>
      <c r="F87" s="1687">
        <f t="shared" si="24"/>
        <v>0</v>
      </c>
      <c r="G87" s="1675" t="e">
        <f t="shared" si="20"/>
        <v>#DIV/0!</v>
      </c>
      <c r="H87" s="1635">
        <f t="shared" si="22"/>
        <v>0</v>
      </c>
    </row>
    <row r="88" spans="1:8" ht="17.100000000000001" hidden="1" customHeight="1">
      <c r="A88" s="1666"/>
      <c r="B88" s="3467"/>
      <c r="C88" s="1679" t="s">
        <v>795</v>
      </c>
      <c r="D88" s="1680" t="s">
        <v>796</v>
      </c>
      <c r="E88" s="1687"/>
      <c r="F88" s="1687">
        <f t="shared" si="24"/>
        <v>0</v>
      </c>
      <c r="G88" s="1675" t="e">
        <f t="shared" si="20"/>
        <v>#DIV/0!</v>
      </c>
      <c r="H88" s="1635">
        <f t="shared" si="22"/>
        <v>0</v>
      </c>
    </row>
    <row r="89" spans="1:8" ht="17.100000000000001" hidden="1" customHeight="1">
      <c r="A89" s="1666"/>
      <c r="B89" s="3467"/>
      <c r="C89" s="1679" t="s">
        <v>797</v>
      </c>
      <c r="D89" s="1680" t="s">
        <v>798</v>
      </c>
      <c r="E89" s="1687"/>
      <c r="F89" s="1687">
        <f t="shared" si="24"/>
        <v>0</v>
      </c>
      <c r="G89" s="1675" t="e">
        <f t="shared" si="20"/>
        <v>#DIV/0!</v>
      </c>
      <c r="H89" s="1635">
        <f t="shared" si="22"/>
        <v>0</v>
      </c>
    </row>
    <row r="90" spans="1:8" ht="17.100000000000001" hidden="1" customHeight="1">
      <c r="A90" s="1666"/>
      <c r="B90" s="3467"/>
      <c r="C90" s="1692" t="s">
        <v>819</v>
      </c>
      <c r="D90" s="1693" t="s">
        <v>820</v>
      </c>
      <c r="E90" s="1687"/>
      <c r="F90" s="1687">
        <f t="shared" si="24"/>
        <v>0</v>
      </c>
      <c r="G90" s="1675" t="e">
        <f t="shared" si="20"/>
        <v>#DIV/0!</v>
      </c>
      <c r="H90" s="1635">
        <f t="shared" si="22"/>
        <v>0</v>
      </c>
    </row>
    <row r="91" spans="1:8" ht="17.100000000000001" hidden="1" customHeight="1">
      <c r="A91" s="1666"/>
      <c r="B91" s="3467"/>
      <c r="C91" s="3480"/>
      <c r="D91" s="3481"/>
      <c r="E91" s="1716"/>
      <c r="F91" s="1716"/>
      <c r="G91" s="1717" t="e">
        <f t="shared" si="20"/>
        <v>#DIV/0!</v>
      </c>
      <c r="H91" s="1635">
        <f t="shared" si="22"/>
        <v>0</v>
      </c>
    </row>
    <row r="92" spans="1:8" ht="17.100000000000001" hidden="1" customHeight="1">
      <c r="A92" s="1666"/>
      <c r="B92" s="3467"/>
      <c r="C92" s="3486" t="s">
        <v>807</v>
      </c>
      <c r="D92" s="3486"/>
      <c r="E92" s="1718">
        <f t="shared" ref="E92:F92" si="25">E93</f>
        <v>0</v>
      </c>
      <c r="F92" s="1718">
        <f t="shared" si="25"/>
        <v>0</v>
      </c>
      <c r="G92" s="1684" t="e">
        <f t="shared" si="20"/>
        <v>#DIV/0!</v>
      </c>
      <c r="H92" s="1635">
        <f t="shared" si="22"/>
        <v>0</v>
      </c>
    </row>
    <row r="93" spans="1:8" ht="17.100000000000001" hidden="1" customHeight="1">
      <c r="A93" s="1666"/>
      <c r="B93" s="3467"/>
      <c r="C93" s="1719" t="s">
        <v>808</v>
      </c>
      <c r="D93" s="1720" t="s">
        <v>809</v>
      </c>
      <c r="E93" s="1721"/>
      <c r="F93" s="1721">
        <f>H93</f>
        <v>0</v>
      </c>
      <c r="G93" s="1717" t="e">
        <f t="shared" si="20"/>
        <v>#DIV/0!</v>
      </c>
      <c r="H93" s="1635">
        <f t="shared" si="22"/>
        <v>0</v>
      </c>
    </row>
    <row r="94" spans="1:8" ht="17.100000000000001" hidden="1" customHeight="1">
      <c r="A94" s="1666"/>
      <c r="B94" s="3467"/>
      <c r="C94" s="1699"/>
      <c r="D94" s="1699"/>
      <c r="E94" s="1683"/>
      <c r="F94" s="1683"/>
      <c r="G94" s="1684" t="e">
        <f t="shared" si="20"/>
        <v>#DIV/0!</v>
      </c>
      <c r="H94" s="1635">
        <f t="shared" si="22"/>
        <v>0</v>
      </c>
    </row>
    <row r="95" spans="1:8" ht="17.100000000000001" hidden="1" customHeight="1">
      <c r="A95" s="1666"/>
      <c r="B95" s="3467"/>
      <c r="C95" s="3484" t="s">
        <v>810</v>
      </c>
      <c r="D95" s="3485"/>
      <c r="E95" s="1722">
        <f t="shared" ref="E95:F95" si="26">E96</f>
        <v>0</v>
      </c>
      <c r="F95" s="1722">
        <f t="shared" si="26"/>
        <v>0</v>
      </c>
      <c r="G95" s="1723" t="e">
        <f t="shared" si="20"/>
        <v>#DIV/0!</v>
      </c>
      <c r="H95" s="1635">
        <f t="shared" si="22"/>
        <v>0</v>
      </c>
    </row>
    <row r="96" spans="1:8" ht="17.100000000000001" hidden="1" customHeight="1">
      <c r="A96" s="1666"/>
      <c r="B96" s="3467"/>
      <c r="C96" s="3491" t="s">
        <v>811</v>
      </c>
      <c r="D96" s="3491"/>
      <c r="E96" s="1724">
        <f>SUM(E97:E98)</f>
        <v>0</v>
      </c>
      <c r="F96" s="1724">
        <f t="shared" ref="F96" si="27">SUM(F97:F98)</f>
        <v>0</v>
      </c>
      <c r="G96" s="1725" t="e">
        <f t="shared" si="20"/>
        <v>#DIV/0!</v>
      </c>
      <c r="H96" s="1635">
        <f t="shared" si="22"/>
        <v>0</v>
      </c>
    </row>
    <row r="97" spans="1:19" ht="20.25" hidden="1" customHeight="1">
      <c r="A97" s="1666"/>
      <c r="B97" s="3467"/>
      <c r="C97" s="1726" t="s">
        <v>821</v>
      </c>
      <c r="D97" s="1727" t="s">
        <v>813</v>
      </c>
      <c r="E97" s="1724"/>
      <c r="F97" s="1724">
        <f>H97</f>
        <v>0</v>
      </c>
      <c r="G97" s="1725"/>
      <c r="H97" s="1635">
        <f t="shared" si="22"/>
        <v>0</v>
      </c>
    </row>
    <row r="98" spans="1:19" ht="55.5" hidden="1" customHeight="1">
      <c r="A98" s="1666"/>
      <c r="B98" s="3467"/>
      <c r="C98" s="1728" t="s">
        <v>711</v>
      </c>
      <c r="D98" s="1729" t="s">
        <v>822</v>
      </c>
      <c r="E98" s="1724"/>
      <c r="F98" s="1724">
        <f>H98</f>
        <v>0</v>
      </c>
      <c r="G98" s="1725" t="e">
        <f t="shared" si="20"/>
        <v>#DIV/0!</v>
      </c>
      <c r="H98" s="1635">
        <f t="shared" si="22"/>
        <v>0</v>
      </c>
    </row>
    <row r="99" spans="1:19" ht="17.100000000000001" hidden="1" customHeight="1">
      <c r="A99" s="1666"/>
      <c r="B99" s="3477"/>
      <c r="C99" s="1699"/>
      <c r="D99" s="1710"/>
      <c r="E99" s="1711"/>
      <c r="F99" s="1711"/>
      <c r="G99" s="1712" t="e">
        <f t="shared" si="20"/>
        <v>#DIV/0!</v>
      </c>
      <c r="H99" s="1635">
        <f t="shared" si="22"/>
        <v>0</v>
      </c>
    </row>
    <row r="100" spans="1:19" ht="17.100000000000001" hidden="1" customHeight="1">
      <c r="A100" s="1666"/>
      <c r="B100" s="3477"/>
      <c r="C100" s="3490" t="s">
        <v>823</v>
      </c>
      <c r="D100" s="3492"/>
      <c r="E100" s="1724">
        <f>E101</f>
        <v>0</v>
      </c>
      <c r="F100" s="1724">
        <f t="shared" ref="F100" si="28">F101</f>
        <v>0</v>
      </c>
      <c r="G100" s="1725" t="e">
        <f t="shared" si="20"/>
        <v>#DIV/0!</v>
      </c>
      <c r="H100" s="1635">
        <f t="shared" si="22"/>
        <v>0</v>
      </c>
    </row>
    <row r="101" spans="1:19" ht="17.100000000000001" hidden="1" customHeight="1" thickBot="1">
      <c r="A101" s="1666"/>
      <c r="B101" s="3477"/>
      <c r="C101" s="1730" t="s">
        <v>821</v>
      </c>
      <c r="D101" s="1731" t="s">
        <v>813</v>
      </c>
      <c r="E101" s="1732"/>
      <c r="F101" s="1732">
        <f>H101</f>
        <v>0</v>
      </c>
      <c r="G101" s="1733" t="e">
        <f t="shared" si="20"/>
        <v>#DIV/0!</v>
      </c>
      <c r="H101" s="1635">
        <f t="shared" si="22"/>
        <v>0</v>
      </c>
    </row>
    <row r="102" spans="1:19" ht="17.100000000000001" customHeight="1" thickBot="1">
      <c r="A102" s="1666"/>
      <c r="B102" s="1734" t="s">
        <v>346</v>
      </c>
      <c r="C102" s="1735"/>
      <c r="D102" s="1736" t="s">
        <v>824</v>
      </c>
      <c r="E102" s="1737">
        <f t="shared" ref="E102:F103" si="29">E103</f>
        <v>7430000</v>
      </c>
      <c r="F102" s="1737">
        <f t="shared" si="29"/>
        <v>9000000</v>
      </c>
      <c r="G102" s="1738">
        <f t="shared" si="20"/>
        <v>1.2113055181695829</v>
      </c>
      <c r="H102" s="1635">
        <f t="shared" si="22"/>
        <v>0</v>
      </c>
    </row>
    <row r="103" spans="1:19" ht="17.100000000000001" customHeight="1">
      <c r="A103" s="1666"/>
      <c r="B103" s="1739"/>
      <c r="C103" s="3487" t="s">
        <v>755</v>
      </c>
      <c r="D103" s="3488"/>
      <c r="E103" s="1672">
        <f t="shared" si="29"/>
        <v>7430000</v>
      </c>
      <c r="F103" s="1672">
        <f t="shared" si="29"/>
        <v>9000000</v>
      </c>
      <c r="G103" s="1673">
        <f t="shared" si="20"/>
        <v>1.2113055181695829</v>
      </c>
      <c r="H103" s="1635">
        <f t="shared" si="22"/>
        <v>0</v>
      </c>
    </row>
    <row r="104" spans="1:19" ht="17.100000000000001" customHeight="1">
      <c r="A104" s="1666"/>
      <c r="B104" s="1740"/>
      <c r="C104" s="3466" t="s">
        <v>825</v>
      </c>
      <c r="D104" s="3489"/>
      <c r="E104" s="1724">
        <f>SUM(E105:E136)</f>
        <v>7430000</v>
      </c>
      <c r="F104" s="1724">
        <f>SUM(F105:F136)</f>
        <v>9000000</v>
      </c>
      <c r="G104" s="1725">
        <f t="shared" si="20"/>
        <v>1.2113055181695829</v>
      </c>
      <c r="H104" s="1635">
        <f t="shared" si="22"/>
        <v>0</v>
      </c>
    </row>
    <row r="105" spans="1:19" ht="66" hidden="1" customHeight="1">
      <c r="A105" s="1666"/>
      <c r="B105" s="1740"/>
      <c r="C105" s="1741" t="s">
        <v>484</v>
      </c>
      <c r="D105" s="1742" t="s">
        <v>826</v>
      </c>
      <c r="E105" s="1724">
        <v>809692</v>
      </c>
      <c r="F105" s="1724">
        <f>H105</f>
        <v>0</v>
      </c>
      <c r="G105" s="1725">
        <f t="shared" si="20"/>
        <v>0</v>
      </c>
      <c r="H105" s="1635">
        <f t="shared" si="22"/>
        <v>0</v>
      </c>
    </row>
    <row r="106" spans="1:19" ht="63" hidden="1" customHeight="1">
      <c r="A106" s="1666"/>
      <c r="B106" s="1740"/>
      <c r="C106" s="1741" t="s">
        <v>649</v>
      </c>
      <c r="D106" s="1742" t="s">
        <v>826</v>
      </c>
      <c r="E106" s="1724">
        <v>462809</v>
      </c>
      <c r="F106" s="1724">
        <f t="shared" ref="F106:F136" si="30">H106</f>
        <v>0</v>
      </c>
      <c r="G106" s="1725">
        <f t="shared" si="20"/>
        <v>0</v>
      </c>
      <c r="H106" s="1635">
        <f t="shared" si="22"/>
        <v>0</v>
      </c>
    </row>
    <row r="107" spans="1:19" ht="53.25" hidden="1" customHeight="1">
      <c r="A107" s="1666"/>
      <c r="B107" s="1740"/>
      <c r="C107" s="1741" t="s">
        <v>474</v>
      </c>
      <c r="D107" s="1742" t="s">
        <v>827</v>
      </c>
      <c r="E107" s="1724">
        <v>102260</v>
      </c>
      <c r="F107" s="1724">
        <f t="shared" si="30"/>
        <v>0</v>
      </c>
      <c r="G107" s="1725">
        <f t="shared" si="20"/>
        <v>0</v>
      </c>
      <c r="H107" s="1635">
        <f t="shared" si="22"/>
        <v>0</v>
      </c>
    </row>
    <row r="108" spans="1:19" ht="56.25" hidden="1" customHeight="1">
      <c r="A108" s="1666"/>
      <c r="B108" s="1740"/>
      <c r="C108" s="1741" t="s">
        <v>486</v>
      </c>
      <c r="D108" s="1742" t="s">
        <v>827</v>
      </c>
      <c r="E108" s="1724">
        <v>58450</v>
      </c>
      <c r="F108" s="1724">
        <f t="shared" si="30"/>
        <v>0</v>
      </c>
      <c r="G108" s="1725">
        <f t="shared" si="20"/>
        <v>0</v>
      </c>
      <c r="H108" s="1635">
        <f t="shared" si="22"/>
        <v>0</v>
      </c>
    </row>
    <row r="109" spans="1:19" ht="17.100000000000001" customHeight="1">
      <c r="A109" s="1666"/>
      <c r="B109" s="1740"/>
      <c r="C109" s="1743" t="s">
        <v>828</v>
      </c>
      <c r="D109" s="1744" t="s">
        <v>759</v>
      </c>
      <c r="E109" s="1724">
        <v>2389761</v>
      </c>
      <c r="F109" s="1724">
        <f t="shared" si="30"/>
        <v>2926980</v>
      </c>
      <c r="G109" s="1725">
        <f t="shared" si="20"/>
        <v>1.2248003042982123</v>
      </c>
      <c r="H109" s="1635">
        <f t="shared" si="22"/>
        <v>2926980</v>
      </c>
      <c r="S109" s="1636">
        <v>2926980</v>
      </c>
    </row>
    <row r="110" spans="1:19" ht="17.100000000000001" customHeight="1">
      <c r="A110" s="1666"/>
      <c r="B110" s="1740"/>
      <c r="C110" s="1743" t="s">
        <v>829</v>
      </c>
      <c r="D110" s="1744" t="s">
        <v>759</v>
      </c>
      <c r="E110" s="1724">
        <v>1367065</v>
      </c>
      <c r="F110" s="1724">
        <f t="shared" si="30"/>
        <v>1673020</v>
      </c>
      <c r="G110" s="1725">
        <f t="shared" si="20"/>
        <v>1.2238042814350452</v>
      </c>
      <c r="H110" s="1635">
        <f t="shared" si="22"/>
        <v>1673020</v>
      </c>
      <c r="S110" s="1636">
        <v>1673020</v>
      </c>
    </row>
    <row r="111" spans="1:19" ht="17.100000000000001" customHeight="1" thickBot="1">
      <c r="A111" s="1792"/>
      <c r="B111" s="3047"/>
      <c r="C111" s="3048" t="s">
        <v>830</v>
      </c>
      <c r="D111" s="3049" t="s">
        <v>761</v>
      </c>
      <c r="E111" s="1694">
        <v>177792</v>
      </c>
      <c r="F111" s="1694">
        <f t="shared" si="30"/>
        <v>222006</v>
      </c>
      <c r="G111" s="1725">
        <f t="shared" si="20"/>
        <v>1.2486838552915767</v>
      </c>
      <c r="H111" s="1635">
        <f t="shared" si="22"/>
        <v>222006</v>
      </c>
      <c r="S111" s="1636">
        <v>222006</v>
      </c>
    </row>
    <row r="112" spans="1:19" ht="17.100000000000001" customHeight="1">
      <c r="A112" s="1666"/>
      <c r="B112" s="1740"/>
      <c r="C112" s="1719" t="s">
        <v>831</v>
      </c>
      <c r="D112" s="3045" t="s">
        <v>761</v>
      </c>
      <c r="E112" s="3046">
        <v>101623</v>
      </c>
      <c r="F112" s="3046">
        <f t="shared" si="30"/>
        <v>127994</v>
      </c>
      <c r="G112" s="1725">
        <f t="shared" si="20"/>
        <v>1.2594983419107879</v>
      </c>
      <c r="H112" s="1635">
        <f t="shared" si="22"/>
        <v>127994</v>
      </c>
      <c r="S112" s="1636">
        <v>127994</v>
      </c>
    </row>
    <row r="113" spans="1:19" ht="17.100000000000001" customHeight="1">
      <c r="A113" s="1666"/>
      <c r="B113" s="1740"/>
      <c r="C113" s="1743" t="s">
        <v>832</v>
      </c>
      <c r="D113" s="1744" t="s">
        <v>763</v>
      </c>
      <c r="E113" s="1724">
        <v>462150</v>
      </c>
      <c r="F113" s="1724">
        <f t="shared" si="30"/>
        <v>535765</v>
      </c>
      <c r="G113" s="1725">
        <f t="shared" si="20"/>
        <v>1.1592881099210213</v>
      </c>
      <c r="H113" s="1635">
        <f t="shared" si="22"/>
        <v>535765</v>
      </c>
      <c r="S113" s="1636">
        <v>535765</v>
      </c>
    </row>
    <row r="114" spans="1:19" ht="17.100000000000001" customHeight="1">
      <c r="A114" s="1666"/>
      <c r="B114" s="1740"/>
      <c r="C114" s="1743" t="s">
        <v>833</v>
      </c>
      <c r="D114" s="1744" t="s">
        <v>763</v>
      </c>
      <c r="E114" s="1724">
        <v>264159</v>
      </c>
      <c r="F114" s="1724">
        <f t="shared" si="30"/>
        <v>306235</v>
      </c>
      <c r="G114" s="1725">
        <f t="shared" si="20"/>
        <v>1.1592828561586015</v>
      </c>
      <c r="H114" s="1635">
        <f t="shared" si="22"/>
        <v>306235</v>
      </c>
      <c r="S114" s="1636">
        <v>306235</v>
      </c>
    </row>
    <row r="115" spans="1:19" ht="27" customHeight="1">
      <c r="A115" s="1666"/>
      <c r="B115" s="1740"/>
      <c r="C115" s="1743" t="s">
        <v>834</v>
      </c>
      <c r="D115" s="1744" t="s">
        <v>1440</v>
      </c>
      <c r="E115" s="1724">
        <v>75242</v>
      </c>
      <c r="F115" s="1724">
        <f t="shared" si="30"/>
        <v>79537</v>
      </c>
      <c r="G115" s="1725">
        <f t="shared" si="20"/>
        <v>1.0570824805294916</v>
      </c>
      <c r="H115" s="1635">
        <f t="shared" si="22"/>
        <v>79537</v>
      </c>
      <c r="S115" s="1636">
        <v>79537</v>
      </c>
    </row>
    <row r="116" spans="1:19" ht="26.25" customHeight="1">
      <c r="A116" s="1666"/>
      <c r="B116" s="1740"/>
      <c r="C116" s="1743" t="s">
        <v>835</v>
      </c>
      <c r="D116" s="1744" t="s">
        <v>1440</v>
      </c>
      <c r="E116" s="1724">
        <v>43008</v>
      </c>
      <c r="F116" s="1724">
        <f t="shared" si="30"/>
        <v>45463</v>
      </c>
      <c r="G116" s="1725">
        <f t="shared" si="20"/>
        <v>1.0570824032738095</v>
      </c>
      <c r="H116" s="1635">
        <f t="shared" si="22"/>
        <v>45463</v>
      </c>
      <c r="S116" s="1636">
        <v>45463</v>
      </c>
    </row>
    <row r="117" spans="1:19" ht="17.100000000000001" customHeight="1">
      <c r="A117" s="1666"/>
      <c r="B117" s="1740"/>
      <c r="C117" s="1743" t="s">
        <v>836</v>
      </c>
      <c r="D117" s="1744" t="s">
        <v>767</v>
      </c>
      <c r="E117" s="1724">
        <v>6363</v>
      </c>
      <c r="F117" s="1724">
        <f t="shared" si="30"/>
        <v>6363</v>
      </c>
      <c r="G117" s="1725">
        <f t="shared" si="20"/>
        <v>1</v>
      </c>
      <c r="H117" s="1635">
        <f t="shared" si="22"/>
        <v>6363</v>
      </c>
      <c r="S117" s="1636">
        <v>6363</v>
      </c>
    </row>
    <row r="118" spans="1:19" ht="17.100000000000001" customHeight="1">
      <c r="A118" s="1666"/>
      <c r="B118" s="1740"/>
      <c r="C118" s="1743" t="s">
        <v>837</v>
      </c>
      <c r="D118" s="1744" t="s">
        <v>767</v>
      </c>
      <c r="E118" s="1724">
        <v>3637</v>
      </c>
      <c r="F118" s="1724">
        <f t="shared" si="30"/>
        <v>3637</v>
      </c>
      <c r="G118" s="1725">
        <f t="shared" si="20"/>
        <v>1</v>
      </c>
      <c r="H118" s="1635">
        <f t="shared" si="22"/>
        <v>3637</v>
      </c>
      <c r="S118" s="1636">
        <v>3637</v>
      </c>
    </row>
    <row r="119" spans="1:19" ht="17.100000000000001" customHeight="1">
      <c r="A119" s="1666"/>
      <c r="B119" s="1740"/>
      <c r="C119" s="1743" t="s">
        <v>838</v>
      </c>
      <c r="D119" s="1744" t="s">
        <v>839</v>
      </c>
      <c r="E119" s="1724">
        <v>25452</v>
      </c>
      <c r="F119" s="1724">
        <f t="shared" si="30"/>
        <v>190890</v>
      </c>
      <c r="G119" s="1725">
        <f t="shared" si="20"/>
        <v>7.5</v>
      </c>
      <c r="H119" s="1635">
        <f t="shared" si="22"/>
        <v>190890</v>
      </c>
      <c r="S119" s="1636">
        <v>190890</v>
      </c>
    </row>
    <row r="120" spans="1:19" ht="17.100000000000001" customHeight="1">
      <c r="A120" s="1666"/>
      <c r="B120" s="1740"/>
      <c r="C120" s="1743" t="s">
        <v>840</v>
      </c>
      <c r="D120" s="1744" t="s">
        <v>839</v>
      </c>
      <c r="E120" s="1724">
        <v>14548</v>
      </c>
      <c r="F120" s="1724">
        <f t="shared" si="30"/>
        <v>109110</v>
      </c>
      <c r="G120" s="1725">
        <f t="shared" si="20"/>
        <v>7.5</v>
      </c>
      <c r="H120" s="1635">
        <f t="shared" si="22"/>
        <v>109110</v>
      </c>
      <c r="S120" s="1636">
        <v>109110</v>
      </c>
    </row>
    <row r="121" spans="1:19" ht="17.100000000000001" customHeight="1">
      <c r="A121" s="1666"/>
      <c r="B121" s="1740"/>
      <c r="C121" s="1743" t="s">
        <v>841</v>
      </c>
      <c r="D121" s="1744" t="s">
        <v>774</v>
      </c>
      <c r="E121" s="1724">
        <v>242430</v>
      </c>
      <c r="F121" s="1724">
        <f t="shared" si="30"/>
        <v>336602</v>
      </c>
      <c r="G121" s="1725">
        <f t="shared" si="20"/>
        <v>1.3884502743059852</v>
      </c>
      <c r="H121" s="1635">
        <f t="shared" si="22"/>
        <v>336602</v>
      </c>
      <c r="S121" s="1636">
        <v>336602</v>
      </c>
    </row>
    <row r="122" spans="1:19" ht="17.100000000000001" customHeight="1">
      <c r="A122" s="1666"/>
      <c r="B122" s="1740"/>
      <c r="C122" s="1743" t="s">
        <v>842</v>
      </c>
      <c r="D122" s="1744" t="s">
        <v>774</v>
      </c>
      <c r="E122" s="1724">
        <v>138570</v>
      </c>
      <c r="F122" s="1724">
        <f t="shared" si="30"/>
        <v>192398</v>
      </c>
      <c r="G122" s="1725">
        <f t="shared" si="20"/>
        <v>1.388453489211229</v>
      </c>
      <c r="H122" s="1635">
        <f t="shared" si="22"/>
        <v>192398</v>
      </c>
      <c r="S122" s="1636">
        <v>192398</v>
      </c>
    </row>
    <row r="123" spans="1:19" ht="17.100000000000001" customHeight="1">
      <c r="A123" s="1666"/>
      <c r="B123" s="1740"/>
      <c r="C123" s="1743" t="s">
        <v>843</v>
      </c>
      <c r="D123" s="1744" t="s">
        <v>780</v>
      </c>
      <c r="E123" s="1724">
        <v>9544</v>
      </c>
      <c r="F123" s="1724">
        <f t="shared" si="30"/>
        <v>6999</v>
      </c>
      <c r="G123" s="1725">
        <f t="shared" si="20"/>
        <v>0.73334031852472759</v>
      </c>
      <c r="H123" s="1635">
        <f t="shared" si="22"/>
        <v>6999</v>
      </c>
      <c r="S123" s="1636">
        <v>6999</v>
      </c>
    </row>
    <row r="124" spans="1:19" ht="17.100000000000001" customHeight="1">
      <c r="A124" s="1666"/>
      <c r="B124" s="1740"/>
      <c r="C124" s="1743" t="s">
        <v>844</v>
      </c>
      <c r="D124" s="1744" t="s">
        <v>780</v>
      </c>
      <c r="E124" s="1724">
        <v>5456</v>
      </c>
      <c r="F124" s="1724">
        <f t="shared" si="30"/>
        <v>4001</v>
      </c>
      <c r="G124" s="1725">
        <f t="shared" si="20"/>
        <v>0.73332111436950143</v>
      </c>
      <c r="H124" s="1635">
        <f t="shared" si="22"/>
        <v>4001</v>
      </c>
      <c r="S124" s="1636">
        <v>4001</v>
      </c>
    </row>
    <row r="125" spans="1:19" ht="17.100000000000001" customHeight="1">
      <c r="A125" s="1666"/>
      <c r="B125" s="1740"/>
      <c r="C125" s="1743" t="s">
        <v>845</v>
      </c>
      <c r="D125" s="1744" t="s">
        <v>784</v>
      </c>
      <c r="E125" s="1724">
        <v>388009</v>
      </c>
      <c r="F125" s="1724">
        <f t="shared" si="30"/>
        <v>1352138</v>
      </c>
      <c r="G125" s="1725">
        <f t="shared" si="20"/>
        <v>3.4848109193343455</v>
      </c>
      <c r="H125" s="1635">
        <f t="shared" si="22"/>
        <v>1352138</v>
      </c>
      <c r="S125" s="1636">
        <v>1352138</v>
      </c>
    </row>
    <row r="126" spans="1:19" ht="17.100000000000001" customHeight="1">
      <c r="A126" s="1666"/>
      <c r="B126" s="1740"/>
      <c r="C126" s="1743" t="s">
        <v>846</v>
      </c>
      <c r="D126" s="1744" t="s">
        <v>784</v>
      </c>
      <c r="E126" s="1724">
        <v>221780</v>
      </c>
      <c r="F126" s="1724">
        <f t="shared" si="30"/>
        <v>772862</v>
      </c>
      <c r="G126" s="1725">
        <f t="shared" si="20"/>
        <v>3.4848137794210481</v>
      </c>
      <c r="H126" s="1635">
        <f t="shared" si="22"/>
        <v>772862</v>
      </c>
      <c r="S126" s="1636">
        <v>772862</v>
      </c>
    </row>
    <row r="127" spans="1:19" ht="17.100000000000001" customHeight="1">
      <c r="A127" s="1666"/>
      <c r="B127" s="1740"/>
      <c r="C127" s="1743" t="s">
        <v>847</v>
      </c>
      <c r="D127" s="1744" t="s">
        <v>788</v>
      </c>
      <c r="E127" s="1724">
        <v>636</v>
      </c>
      <c r="F127" s="1724">
        <f t="shared" si="30"/>
        <v>2545</v>
      </c>
      <c r="G127" s="1725">
        <f t="shared" si="20"/>
        <v>4.0015723270440251</v>
      </c>
      <c r="H127" s="1635">
        <f t="shared" si="22"/>
        <v>2545</v>
      </c>
      <c r="S127" s="1636">
        <v>2545</v>
      </c>
    </row>
    <row r="128" spans="1:19" ht="17.100000000000001" customHeight="1">
      <c r="A128" s="1666"/>
      <c r="B128" s="1740"/>
      <c r="C128" s="1743" t="s">
        <v>848</v>
      </c>
      <c r="D128" s="1744" t="s">
        <v>788</v>
      </c>
      <c r="E128" s="1724">
        <v>364</v>
      </c>
      <c r="F128" s="1724">
        <f t="shared" si="30"/>
        <v>1455</v>
      </c>
      <c r="G128" s="1725">
        <f t="shared" si="20"/>
        <v>3.9972527472527473</v>
      </c>
      <c r="H128" s="1635">
        <f t="shared" si="22"/>
        <v>1455</v>
      </c>
      <c r="S128" s="1636">
        <v>1455</v>
      </c>
    </row>
    <row r="129" spans="1:19" ht="17.100000000000001" customHeight="1">
      <c r="A129" s="1666"/>
      <c r="B129" s="1740"/>
      <c r="C129" s="1743" t="s">
        <v>849</v>
      </c>
      <c r="D129" s="1744" t="s">
        <v>792</v>
      </c>
      <c r="E129" s="1724">
        <v>7636</v>
      </c>
      <c r="F129" s="1724">
        <f t="shared" si="30"/>
        <v>10817</v>
      </c>
      <c r="G129" s="1725">
        <f t="shared" si="20"/>
        <v>1.4165793609219486</v>
      </c>
      <c r="H129" s="1635">
        <f t="shared" si="22"/>
        <v>10817</v>
      </c>
      <c r="S129" s="1636">
        <v>10817</v>
      </c>
    </row>
    <row r="130" spans="1:19" ht="17.100000000000001" customHeight="1">
      <c r="A130" s="1666"/>
      <c r="B130" s="1740"/>
      <c r="C130" s="1743" t="s">
        <v>850</v>
      </c>
      <c r="D130" s="1744" t="s">
        <v>792</v>
      </c>
      <c r="E130" s="1724">
        <v>4364</v>
      </c>
      <c r="F130" s="1724">
        <f t="shared" si="30"/>
        <v>6183</v>
      </c>
      <c r="G130" s="1725">
        <f t="shared" si="20"/>
        <v>1.4168194317140239</v>
      </c>
      <c r="H130" s="1635">
        <f t="shared" si="22"/>
        <v>6183</v>
      </c>
      <c r="S130" s="1636">
        <v>6183</v>
      </c>
    </row>
    <row r="131" spans="1:19" ht="17.100000000000001" customHeight="1">
      <c r="A131" s="1666"/>
      <c r="B131" s="1740"/>
      <c r="C131" s="1743" t="s">
        <v>851</v>
      </c>
      <c r="D131" s="1744" t="s">
        <v>794</v>
      </c>
      <c r="E131" s="1724">
        <v>5727</v>
      </c>
      <c r="F131" s="1724">
        <f t="shared" si="30"/>
        <v>12726</v>
      </c>
      <c r="G131" s="1725">
        <f t="shared" si="20"/>
        <v>2.2221058145625983</v>
      </c>
      <c r="H131" s="1635">
        <f t="shared" si="22"/>
        <v>12726</v>
      </c>
      <c r="S131" s="1636">
        <v>12726</v>
      </c>
    </row>
    <row r="132" spans="1:19" ht="17.100000000000001" customHeight="1">
      <c r="A132" s="1666"/>
      <c r="B132" s="1740"/>
      <c r="C132" s="1743" t="s">
        <v>852</v>
      </c>
      <c r="D132" s="1744" t="s">
        <v>794</v>
      </c>
      <c r="E132" s="1724">
        <v>3273</v>
      </c>
      <c r="F132" s="1724">
        <f t="shared" si="30"/>
        <v>7274</v>
      </c>
      <c r="G132" s="1725">
        <f t="shared" si="20"/>
        <v>2.2224259089520317</v>
      </c>
      <c r="H132" s="1635">
        <f t="shared" si="22"/>
        <v>7274</v>
      </c>
      <c r="S132" s="1636">
        <v>7274</v>
      </c>
    </row>
    <row r="133" spans="1:19" ht="17.25" customHeight="1">
      <c r="A133" s="1666"/>
      <c r="B133" s="1740"/>
      <c r="C133" s="1743" t="s">
        <v>853</v>
      </c>
      <c r="D133" s="1744" t="s">
        <v>806</v>
      </c>
      <c r="E133" s="1724">
        <v>12089</v>
      </c>
      <c r="F133" s="1724">
        <f t="shared" si="30"/>
        <v>21634</v>
      </c>
      <c r="G133" s="1725">
        <f t="shared" si="20"/>
        <v>1.7895607577136239</v>
      </c>
      <c r="H133" s="1635">
        <f t="shared" si="22"/>
        <v>21634</v>
      </c>
      <c r="S133" s="1636">
        <v>21634</v>
      </c>
    </row>
    <row r="134" spans="1:19" ht="19.5" customHeight="1">
      <c r="A134" s="1666"/>
      <c r="B134" s="1740"/>
      <c r="C134" s="1743" t="s">
        <v>854</v>
      </c>
      <c r="D134" s="1744" t="s">
        <v>806</v>
      </c>
      <c r="E134" s="1724">
        <v>6911</v>
      </c>
      <c r="F134" s="1724">
        <f t="shared" si="30"/>
        <v>12366</v>
      </c>
      <c r="G134" s="1725">
        <f t="shared" si="20"/>
        <v>1.7893213717262335</v>
      </c>
      <c r="H134" s="1635">
        <f t="shared" si="22"/>
        <v>12366</v>
      </c>
      <c r="S134" s="1636">
        <v>12366</v>
      </c>
    </row>
    <row r="135" spans="1:19" ht="19.5" customHeight="1">
      <c r="A135" s="1666"/>
      <c r="B135" s="1740"/>
      <c r="C135" s="1743" t="s">
        <v>855</v>
      </c>
      <c r="D135" s="1744" t="s">
        <v>769</v>
      </c>
      <c r="E135" s="1724">
        <v>12217</v>
      </c>
      <c r="F135" s="1724">
        <f t="shared" si="30"/>
        <v>20998</v>
      </c>
      <c r="G135" s="1725">
        <f t="shared" si="20"/>
        <v>1.7187525579111074</v>
      </c>
      <c r="H135" s="1635">
        <f t="shared" si="22"/>
        <v>20998</v>
      </c>
      <c r="S135" s="1636">
        <v>20998</v>
      </c>
    </row>
    <row r="136" spans="1:19" ht="19.5" customHeight="1" thickBot="1">
      <c r="A136" s="1666"/>
      <c r="B136" s="1740"/>
      <c r="C136" s="1743" t="s">
        <v>856</v>
      </c>
      <c r="D136" s="1744" t="s">
        <v>769</v>
      </c>
      <c r="E136" s="1724">
        <v>6983</v>
      </c>
      <c r="F136" s="1724">
        <f t="shared" si="30"/>
        <v>12002</v>
      </c>
      <c r="G136" s="1725">
        <f t="shared" si="20"/>
        <v>1.7187455248460548</v>
      </c>
      <c r="H136" s="1635">
        <f t="shared" si="22"/>
        <v>12002</v>
      </c>
      <c r="S136" s="1636">
        <v>12002</v>
      </c>
    </row>
    <row r="137" spans="1:19" ht="17.100000000000001" customHeight="1" thickBot="1">
      <c r="A137" s="1666"/>
      <c r="B137" s="1734" t="s">
        <v>202</v>
      </c>
      <c r="C137" s="1735"/>
      <c r="D137" s="1736" t="s">
        <v>353</v>
      </c>
      <c r="E137" s="1737">
        <f t="shared" ref="E137:F137" si="31">E138+E148</f>
        <v>12962823</v>
      </c>
      <c r="F137" s="1737">
        <f t="shared" si="31"/>
        <v>12500000</v>
      </c>
      <c r="G137" s="1738">
        <f t="shared" si="20"/>
        <v>0.96429612592874248</v>
      </c>
      <c r="H137" s="1635">
        <f t="shared" si="22"/>
        <v>0</v>
      </c>
    </row>
    <row r="138" spans="1:19" ht="17.100000000000001" customHeight="1">
      <c r="A138" s="1666"/>
      <c r="B138" s="1745"/>
      <c r="C138" s="3472" t="s">
        <v>755</v>
      </c>
      <c r="D138" s="3472"/>
      <c r="E138" s="1672">
        <f t="shared" ref="E138:F138" si="32">E139+E144</f>
        <v>3813415</v>
      </c>
      <c r="F138" s="1672">
        <f t="shared" si="32"/>
        <v>4595000</v>
      </c>
      <c r="G138" s="1673">
        <f t="shared" si="20"/>
        <v>1.2049567120284574</v>
      </c>
      <c r="H138" s="1635">
        <f t="shared" si="22"/>
        <v>0</v>
      </c>
    </row>
    <row r="139" spans="1:19" ht="17.100000000000001" customHeight="1">
      <c r="A139" s="1666"/>
      <c r="B139" s="1745"/>
      <c r="C139" s="3466" t="s">
        <v>756</v>
      </c>
      <c r="D139" s="3466"/>
      <c r="E139" s="1724">
        <f t="shared" ref="E139:F139" si="33">E140</f>
        <v>240000</v>
      </c>
      <c r="F139" s="1724">
        <f t="shared" si="33"/>
        <v>380000</v>
      </c>
      <c r="G139" s="1725">
        <f t="shared" si="20"/>
        <v>1.5833333333333333</v>
      </c>
      <c r="H139" s="1635">
        <f t="shared" si="22"/>
        <v>0</v>
      </c>
    </row>
    <row r="140" spans="1:19" ht="17.100000000000001" customHeight="1">
      <c r="A140" s="1666"/>
      <c r="B140" s="1745"/>
      <c r="C140" s="3490" t="s">
        <v>770</v>
      </c>
      <c r="D140" s="3490"/>
      <c r="E140" s="1724">
        <f t="shared" ref="E140:F140" si="34">SUM(E141:E142)</f>
        <v>240000</v>
      </c>
      <c r="F140" s="1724">
        <f t="shared" si="34"/>
        <v>380000</v>
      </c>
      <c r="G140" s="1725">
        <f t="shared" si="20"/>
        <v>1.5833333333333333</v>
      </c>
      <c r="H140" s="1635">
        <f t="shared" si="22"/>
        <v>0</v>
      </c>
    </row>
    <row r="141" spans="1:19" ht="17.100000000000001" customHeight="1">
      <c r="A141" s="1666"/>
      <c r="B141" s="1745"/>
      <c r="C141" s="1743" t="s">
        <v>773</v>
      </c>
      <c r="D141" s="1746" t="s">
        <v>774</v>
      </c>
      <c r="E141" s="1724">
        <v>210000</v>
      </c>
      <c r="F141" s="1724">
        <f>H141</f>
        <v>350000</v>
      </c>
      <c r="G141" s="1725">
        <f t="shared" ref="G141:G208" si="35">F141/E141</f>
        <v>1.6666666666666667</v>
      </c>
      <c r="H141" s="1635">
        <f t="shared" si="22"/>
        <v>350000</v>
      </c>
      <c r="R141" s="1636">
        <v>350000</v>
      </c>
    </row>
    <row r="142" spans="1:19" ht="17.100000000000001" customHeight="1">
      <c r="A142" s="1666"/>
      <c r="B142" s="1745"/>
      <c r="C142" s="1743" t="s">
        <v>783</v>
      </c>
      <c r="D142" s="1746" t="s">
        <v>784</v>
      </c>
      <c r="E142" s="1724">
        <v>30000</v>
      </c>
      <c r="F142" s="1724">
        <f>H142</f>
        <v>30000</v>
      </c>
      <c r="G142" s="1725">
        <f t="shared" si="35"/>
        <v>1</v>
      </c>
      <c r="H142" s="1635">
        <f t="shared" si="22"/>
        <v>30000</v>
      </c>
      <c r="R142" s="1636">
        <v>30000</v>
      </c>
    </row>
    <row r="143" spans="1:19" ht="17.100000000000001" customHeight="1">
      <c r="A143" s="1666"/>
      <c r="B143" s="1745"/>
      <c r="C143" s="3464"/>
      <c r="D143" s="3465"/>
      <c r="E143" s="1683"/>
      <c r="F143" s="1683"/>
      <c r="G143" s="1684"/>
      <c r="H143" s="1635">
        <f t="shared" si="22"/>
        <v>0</v>
      </c>
    </row>
    <row r="144" spans="1:19" ht="17.100000000000001" customHeight="1">
      <c r="A144" s="1666"/>
      <c r="B144" s="1745"/>
      <c r="C144" s="3466" t="s">
        <v>857</v>
      </c>
      <c r="D144" s="3466"/>
      <c r="E144" s="1724">
        <f t="shared" ref="E144:F144" si="36">SUM(E145:E146)</f>
        <v>3573415</v>
      </c>
      <c r="F144" s="1724">
        <f t="shared" si="36"/>
        <v>4215000</v>
      </c>
      <c r="G144" s="1725">
        <f t="shared" si="35"/>
        <v>1.1795439376618724</v>
      </c>
      <c r="H144" s="1635">
        <f t="shared" si="22"/>
        <v>0</v>
      </c>
    </row>
    <row r="145" spans="1:18" ht="40.5" customHeight="1">
      <c r="A145" s="1666"/>
      <c r="B145" s="1745"/>
      <c r="C145" s="1743" t="s">
        <v>858</v>
      </c>
      <c r="D145" s="1746" t="s">
        <v>859</v>
      </c>
      <c r="E145" s="1724">
        <v>3393415</v>
      </c>
      <c r="F145" s="1724">
        <f>H145</f>
        <v>4140000</v>
      </c>
      <c r="G145" s="1725">
        <f t="shared" si="35"/>
        <v>1.2200099309987136</v>
      </c>
      <c r="H145" s="1635">
        <f t="shared" si="22"/>
        <v>4140000</v>
      </c>
      <c r="R145" s="1636">
        <v>4140000</v>
      </c>
    </row>
    <row r="146" spans="1:18" ht="42.75" customHeight="1">
      <c r="A146" s="1666"/>
      <c r="B146" s="1745"/>
      <c r="C146" s="1743" t="s">
        <v>670</v>
      </c>
      <c r="D146" s="1746" t="s">
        <v>860</v>
      </c>
      <c r="E146" s="1724">
        <v>180000</v>
      </c>
      <c r="F146" s="1724">
        <f>H146</f>
        <v>75000</v>
      </c>
      <c r="G146" s="1725">
        <f t="shared" si="35"/>
        <v>0.41666666666666669</v>
      </c>
      <c r="H146" s="1635">
        <f t="shared" ref="H146:H214" si="37">SUM(I146:AE146)</f>
        <v>75000</v>
      </c>
      <c r="R146" s="1636">
        <v>75000</v>
      </c>
    </row>
    <row r="147" spans="1:18" ht="17.100000000000001" customHeight="1">
      <c r="A147" s="3182"/>
      <c r="B147" s="3467"/>
      <c r="C147" s="3469"/>
      <c r="D147" s="3470"/>
      <c r="E147" s="1683"/>
      <c r="F147" s="1683"/>
      <c r="G147" s="1684"/>
      <c r="H147" s="1635">
        <f t="shared" si="37"/>
        <v>0</v>
      </c>
    </row>
    <row r="148" spans="1:18" ht="17.100000000000001" customHeight="1">
      <c r="A148" s="3182"/>
      <c r="B148" s="3467"/>
      <c r="C148" s="3493" t="s">
        <v>810</v>
      </c>
      <c r="D148" s="3493"/>
      <c r="E148" s="3051">
        <f t="shared" ref="E148:F148" si="38">E149</f>
        <v>9149408</v>
      </c>
      <c r="F148" s="3051">
        <f t="shared" si="38"/>
        <v>7905000</v>
      </c>
      <c r="G148" s="1723">
        <f t="shared" si="35"/>
        <v>0.86399032593147007</v>
      </c>
      <c r="H148" s="1635">
        <f t="shared" si="37"/>
        <v>0</v>
      </c>
    </row>
    <row r="149" spans="1:18" ht="17.100000000000001" customHeight="1">
      <c r="A149" s="3182"/>
      <c r="B149" s="3467"/>
      <c r="C149" s="3494" t="s">
        <v>811</v>
      </c>
      <c r="D149" s="3494"/>
      <c r="E149" s="2756">
        <f t="shared" ref="E149:F149" si="39">SUM(E150:E152)</f>
        <v>9149408</v>
      </c>
      <c r="F149" s="2756">
        <f t="shared" si="39"/>
        <v>7905000</v>
      </c>
      <c r="G149" s="1725">
        <f t="shared" si="35"/>
        <v>0.86399032593147007</v>
      </c>
      <c r="H149" s="1635">
        <f t="shared" si="37"/>
        <v>0</v>
      </c>
    </row>
    <row r="150" spans="1:18" ht="17.100000000000001" customHeight="1">
      <c r="A150" s="3182"/>
      <c r="B150" s="3467"/>
      <c r="C150" s="3052" t="s">
        <v>812</v>
      </c>
      <c r="D150" s="3053" t="s">
        <v>861</v>
      </c>
      <c r="E150" s="2756">
        <v>210000</v>
      </c>
      <c r="F150" s="2756">
        <f>H150</f>
        <v>170000</v>
      </c>
      <c r="G150" s="1725">
        <f t="shared" si="35"/>
        <v>0.80952380952380953</v>
      </c>
      <c r="H150" s="1635">
        <f t="shared" si="37"/>
        <v>170000</v>
      </c>
      <c r="R150" s="1636">
        <v>170000</v>
      </c>
    </row>
    <row r="151" spans="1:18" ht="37.5" customHeight="1">
      <c r="A151" s="3182"/>
      <c r="B151" s="3467"/>
      <c r="C151" s="3052" t="s">
        <v>862</v>
      </c>
      <c r="D151" s="3053" t="s">
        <v>863</v>
      </c>
      <c r="E151" s="2756">
        <v>8759408</v>
      </c>
      <c r="F151" s="2756">
        <f t="shared" ref="F151:F152" si="40">H151</f>
        <v>7660000</v>
      </c>
      <c r="G151" s="1725">
        <f t="shared" si="35"/>
        <v>0.87448832158520307</v>
      </c>
      <c r="H151" s="1635">
        <f t="shared" si="37"/>
        <v>7660000</v>
      </c>
      <c r="R151" s="1636">
        <v>7660000</v>
      </c>
    </row>
    <row r="152" spans="1:18" ht="39" thickBot="1">
      <c r="A152" s="1792"/>
      <c r="B152" s="3468"/>
      <c r="C152" s="3048" t="s">
        <v>864</v>
      </c>
      <c r="D152" s="3054" t="s">
        <v>865</v>
      </c>
      <c r="E152" s="1694">
        <v>180000</v>
      </c>
      <c r="F152" s="1694">
        <f t="shared" si="40"/>
        <v>75000</v>
      </c>
      <c r="G152" s="1733">
        <f t="shared" si="35"/>
        <v>0.41666666666666669</v>
      </c>
      <c r="H152" s="1635">
        <f t="shared" si="37"/>
        <v>75000</v>
      </c>
      <c r="R152" s="1636">
        <v>75000</v>
      </c>
    </row>
    <row r="153" spans="1:18" ht="16.5" hidden="1" customHeight="1" thickBot="1">
      <c r="A153" s="1666"/>
      <c r="B153" s="2289" t="s">
        <v>866</v>
      </c>
      <c r="C153" s="1892"/>
      <c r="D153" s="3050" t="s">
        <v>867</v>
      </c>
      <c r="E153" s="2248">
        <f>E154</f>
        <v>0</v>
      </c>
      <c r="F153" s="2248">
        <f t="shared" ref="F153:F155" si="41">F154</f>
        <v>0</v>
      </c>
      <c r="G153" s="1738" t="e">
        <f t="shared" si="35"/>
        <v>#DIV/0!</v>
      </c>
      <c r="H153" s="1635">
        <f t="shared" si="37"/>
        <v>0</v>
      </c>
    </row>
    <row r="154" spans="1:18" ht="15.75" hidden="1" customHeight="1">
      <c r="A154" s="1666"/>
      <c r="B154" s="1698"/>
      <c r="C154" s="3501" t="s">
        <v>810</v>
      </c>
      <c r="D154" s="3501"/>
      <c r="E154" s="1749">
        <f>E155</f>
        <v>0</v>
      </c>
      <c r="F154" s="1749">
        <f t="shared" si="41"/>
        <v>0</v>
      </c>
      <c r="G154" s="1750" t="e">
        <f t="shared" si="35"/>
        <v>#DIV/0!</v>
      </c>
      <c r="H154" s="1635">
        <f t="shared" si="37"/>
        <v>0</v>
      </c>
    </row>
    <row r="155" spans="1:18" ht="16.5" hidden="1" customHeight="1">
      <c r="A155" s="1666"/>
      <c r="B155" s="1698"/>
      <c r="C155" s="3491" t="s">
        <v>811</v>
      </c>
      <c r="D155" s="3491"/>
      <c r="E155" s="1724">
        <f>E156</f>
        <v>0</v>
      </c>
      <c r="F155" s="1724">
        <f t="shared" si="41"/>
        <v>0</v>
      </c>
      <c r="G155" s="1725" t="e">
        <f t="shared" si="35"/>
        <v>#DIV/0!</v>
      </c>
      <c r="H155" s="1635">
        <f t="shared" si="37"/>
        <v>0</v>
      </c>
    </row>
    <row r="156" spans="1:18" ht="51.75" hidden="1" thickBot="1">
      <c r="A156" s="1666"/>
      <c r="B156" s="1698"/>
      <c r="C156" s="1726" t="s">
        <v>711</v>
      </c>
      <c r="D156" s="1727" t="s">
        <v>868</v>
      </c>
      <c r="E156" s="1694"/>
      <c r="F156" s="1694">
        <f>H156</f>
        <v>0</v>
      </c>
      <c r="G156" s="1695" t="e">
        <f t="shared" si="35"/>
        <v>#DIV/0!</v>
      </c>
      <c r="H156" s="1635">
        <f t="shared" si="37"/>
        <v>0</v>
      </c>
    </row>
    <row r="157" spans="1:18" ht="17.100000000000001" customHeight="1" thickBot="1">
      <c r="A157" s="1666"/>
      <c r="B157" s="1734" t="s">
        <v>7</v>
      </c>
      <c r="C157" s="1735"/>
      <c r="D157" s="1736" t="s">
        <v>11</v>
      </c>
      <c r="E157" s="1737">
        <f t="shared" ref="E157:F157" si="42">E158</f>
        <v>6694331</v>
      </c>
      <c r="F157" s="1737">
        <f t="shared" si="42"/>
        <v>9581317</v>
      </c>
      <c r="G157" s="1738">
        <f t="shared" si="35"/>
        <v>1.4312583288755814</v>
      </c>
      <c r="H157" s="1635">
        <f t="shared" si="37"/>
        <v>0</v>
      </c>
    </row>
    <row r="158" spans="1:18" ht="17.100000000000001" customHeight="1">
      <c r="A158" s="1666"/>
      <c r="B158" s="1698"/>
      <c r="C158" s="3472" t="s">
        <v>755</v>
      </c>
      <c r="D158" s="3472"/>
      <c r="E158" s="1672">
        <f>E159+E178</f>
        <v>6694331</v>
      </c>
      <c r="F158" s="1672">
        <f>F159+F178</f>
        <v>9581317</v>
      </c>
      <c r="G158" s="1673">
        <f t="shared" si="35"/>
        <v>1.4312583288755814</v>
      </c>
      <c r="H158" s="1635">
        <f t="shared" si="37"/>
        <v>0</v>
      </c>
    </row>
    <row r="159" spans="1:18" ht="17.100000000000001" customHeight="1">
      <c r="A159" s="1666"/>
      <c r="B159" s="1698"/>
      <c r="C159" s="3466" t="s">
        <v>756</v>
      </c>
      <c r="D159" s="3466"/>
      <c r="E159" s="1724">
        <f>E167+E160</f>
        <v>3379623</v>
      </c>
      <c r="F159" s="1724">
        <f>F167+F160</f>
        <v>6209817</v>
      </c>
      <c r="G159" s="1725">
        <f t="shared" si="35"/>
        <v>1.8374289084906807</v>
      </c>
      <c r="H159" s="1635">
        <f t="shared" si="37"/>
        <v>0</v>
      </c>
    </row>
    <row r="160" spans="1:18" ht="17.100000000000001" customHeight="1">
      <c r="A160" s="1666"/>
      <c r="B160" s="1698"/>
      <c r="C160" s="3502" t="s">
        <v>757</v>
      </c>
      <c r="D160" s="3503"/>
      <c r="E160" s="1751">
        <f>SUM(E161:E165)</f>
        <v>1272496</v>
      </c>
      <c r="F160" s="1751">
        <f>SUM(F161:F165)</f>
        <v>1400826</v>
      </c>
      <c r="G160" s="1752">
        <f t="shared" si="35"/>
        <v>1.1008490399969824</v>
      </c>
      <c r="H160" s="1635">
        <f t="shared" si="37"/>
        <v>0</v>
      </c>
    </row>
    <row r="161" spans="1:19" ht="17.100000000000001" customHeight="1">
      <c r="A161" s="1666"/>
      <c r="B161" s="1698"/>
      <c r="C161" s="1753" t="s">
        <v>758</v>
      </c>
      <c r="D161" s="1754" t="s">
        <v>759</v>
      </c>
      <c r="E161" s="1724">
        <v>999262</v>
      </c>
      <c r="F161" s="1724">
        <f>H161</f>
        <v>1093947</v>
      </c>
      <c r="G161" s="1725">
        <f t="shared" si="35"/>
        <v>1.0947549291377037</v>
      </c>
      <c r="H161" s="1635">
        <f t="shared" si="37"/>
        <v>1093947</v>
      </c>
      <c r="I161" s="1636">
        <v>1093947</v>
      </c>
    </row>
    <row r="162" spans="1:19" ht="17.100000000000001" customHeight="1">
      <c r="A162" s="1666"/>
      <c r="B162" s="1698"/>
      <c r="C162" s="1753" t="s">
        <v>760</v>
      </c>
      <c r="D162" s="1746" t="s">
        <v>761</v>
      </c>
      <c r="E162" s="1724">
        <v>61442</v>
      </c>
      <c r="F162" s="1724">
        <f t="shared" ref="F162:F165" si="43">H162</f>
        <v>73884</v>
      </c>
      <c r="G162" s="1725">
        <f t="shared" si="35"/>
        <v>1.2024999186224408</v>
      </c>
      <c r="H162" s="1635">
        <f t="shared" si="37"/>
        <v>73884</v>
      </c>
      <c r="I162" s="1636">
        <v>73884</v>
      </c>
    </row>
    <row r="163" spans="1:19" ht="17.100000000000001" customHeight="1">
      <c r="A163" s="1666"/>
      <c r="B163" s="1698"/>
      <c r="C163" s="1753" t="s">
        <v>762</v>
      </c>
      <c r="D163" s="1754" t="s">
        <v>763</v>
      </c>
      <c r="E163" s="1724">
        <v>179175</v>
      </c>
      <c r="F163" s="1724">
        <f t="shared" si="43"/>
        <v>202142</v>
      </c>
      <c r="G163" s="1725">
        <f t="shared" si="35"/>
        <v>1.1281819450258128</v>
      </c>
      <c r="H163" s="1635">
        <f t="shared" si="37"/>
        <v>202142</v>
      </c>
      <c r="I163" s="1636">
        <v>202142</v>
      </c>
    </row>
    <row r="164" spans="1:19" ht="27" customHeight="1">
      <c r="A164" s="1666"/>
      <c r="B164" s="1698"/>
      <c r="C164" s="1755" t="s">
        <v>764</v>
      </c>
      <c r="D164" s="1756" t="s">
        <v>1440</v>
      </c>
      <c r="E164" s="1724">
        <v>26117</v>
      </c>
      <c r="F164" s="1724">
        <f t="shared" si="43"/>
        <v>28853</v>
      </c>
      <c r="G164" s="1725">
        <f t="shared" si="35"/>
        <v>1.1047593521461117</v>
      </c>
      <c r="H164" s="1635">
        <f t="shared" si="37"/>
        <v>28853</v>
      </c>
      <c r="I164" s="1636">
        <v>28853</v>
      </c>
    </row>
    <row r="165" spans="1:19" ht="27" customHeight="1">
      <c r="A165" s="1666"/>
      <c r="B165" s="1698"/>
      <c r="C165" s="1755" t="s">
        <v>768</v>
      </c>
      <c r="D165" s="1756" t="s">
        <v>769</v>
      </c>
      <c r="E165" s="1724">
        <v>6500</v>
      </c>
      <c r="F165" s="1724">
        <f t="shared" si="43"/>
        <v>2000</v>
      </c>
      <c r="G165" s="1725">
        <f t="shared" si="35"/>
        <v>0.30769230769230771</v>
      </c>
      <c r="H165" s="1635">
        <f t="shared" si="37"/>
        <v>2000</v>
      </c>
      <c r="I165" s="1636">
        <v>2000</v>
      </c>
    </row>
    <row r="166" spans="1:19" ht="17.100000000000001" customHeight="1">
      <c r="A166" s="1666"/>
      <c r="B166" s="1698"/>
      <c r="C166" s="3504"/>
      <c r="D166" s="3505"/>
      <c r="E166" s="1724"/>
      <c r="F166" s="1724"/>
      <c r="G166" s="1725"/>
      <c r="H166" s="1635">
        <f t="shared" si="37"/>
        <v>0</v>
      </c>
    </row>
    <row r="167" spans="1:19" ht="17.100000000000001" customHeight="1">
      <c r="A167" s="1666"/>
      <c r="B167" s="1698"/>
      <c r="C167" s="3490" t="s">
        <v>770</v>
      </c>
      <c r="D167" s="3490"/>
      <c r="E167" s="1724">
        <f>SUM(E168:E176)</f>
        <v>2107127</v>
      </c>
      <c r="F167" s="1724">
        <f>SUM(F168:F176)</f>
        <v>4808991</v>
      </c>
      <c r="G167" s="1725">
        <f t="shared" si="35"/>
        <v>2.2822501918489015</v>
      </c>
      <c r="H167" s="1635">
        <f t="shared" si="37"/>
        <v>0</v>
      </c>
    </row>
    <row r="168" spans="1:19" ht="17.100000000000001" hidden="1" customHeight="1">
      <c r="A168" s="1666"/>
      <c r="B168" s="1698"/>
      <c r="C168" s="1757" t="s">
        <v>771</v>
      </c>
      <c r="D168" s="1758" t="s">
        <v>772</v>
      </c>
      <c r="E168" s="1724"/>
      <c r="F168" s="1724">
        <f>H168</f>
        <v>0</v>
      </c>
      <c r="G168" s="1725" t="e">
        <f t="shared" si="35"/>
        <v>#DIV/0!</v>
      </c>
      <c r="H168" s="1635">
        <f t="shared" si="37"/>
        <v>0</v>
      </c>
    </row>
    <row r="169" spans="1:19" ht="17.100000000000001" customHeight="1">
      <c r="A169" s="1666"/>
      <c r="B169" s="1698"/>
      <c r="C169" s="1743" t="s">
        <v>869</v>
      </c>
      <c r="D169" s="1758" t="s">
        <v>839</v>
      </c>
      <c r="E169" s="1724">
        <v>15500</v>
      </c>
      <c r="F169" s="1724">
        <f t="shared" ref="F169:F176" si="44">H169</f>
        <v>16500</v>
      </c>
      <c r="G169" s="1725">
        <f t="shared" si="35"/>
        <v>1.064516129032258</v>
      </c>
      <c r="H169" s="1635">
        <f t="shared" si="37"/>
        <v>16500</v>
      </c>
      <c r="R169" s="1636">
        <v>16500</v>
      </c>
    </row>
    <row r="170" spans="1:19" ht="17.100000000000001" customHeight="1">
      <c r="A170" s="1666"/>
      <c r="B170" s="1698"/>
      <c r="C170" s="1743" t="s">
        <v>773</v>
      </c>
      <c r="D170" s="1758" t="s">
        <v>774</v>
      </c>
      <c r="E170" s="1724">
        <v>145320</v>
      </c>
      <c r="F170" s="1724">
        <f t="shared" si="44"/>
        <v>46000</v>
      </c>
      <c r="G170" s="1725">
        <f t="shared" si="35"/>
        <v>0.31654280209193503</v>
      </c>
      <c r="H170" s="1635">
        <f t="shared" si="37"/>
        <v>46000</v>
      </c>
      <c r="R170" s="1636">
        <v>46000</v>
      </c>
    </row>
    <row r="171" spans="1:19" ht="17.100000000000001" customHeight="1">
      <c r="A171" s="1666"/>
      <c r="B171" s="1678"/>
      <c r="C171" s="1743" t="s">
        <v>783</v>
      </c>
      <c r="D171" s="1746" t="s">
        <v>784</v>
      </c>
      <c r="E171" s="1724">
        <f>279532+2276</f>
        <v>281808</v>
      </c>
      <c r="F171" s="1724">
        <f t="shared" si="44"/>
        <v>1266491</v>
      </c>
      <c r="G171" s="1725">
        <f t="shared" si="35"/>
        <v>4.494162692329529</v>
      </c>
      <c r="H171" s="1635">
        <f t="shared" si="37"/>
        <v>1266491</v>
      </c>
      <c r="R171" s="1636">
        <v>201183</v>
      </c>
      <c r="S171" s="1636">
        <v>1065308</v>
      </c>
    </row>
    <row r="172" spans="1:19" ht="17.100000000000001" customHeight="1">
      <c r="A172" s="1666"/>
      <c r="B172" s="1678"/>
      <c r="C172" s="1743" t="s">
        <v>787</v>
      </c>
      <c r="D172" s="1746" t="s">
        <v>788</v>
      </c>
      <c r="E172" s="1724">
        <v>208080</v>
      </c>
      <c r="F172" s="1724">
        <f t="shared" si="44"/>
        <v>208000</v>
      </c>
      <c r="G172" s="1725">
        <f t="shared" si="35"/>
        <v>0.99961553248750479</v>
      </c>
      <c r="H172" s="1635">
        <f t="shared" si="37"/>
        <v>208000</v>
      </c>
      <c r="R172" s="1636">
        <v>208000</v>
      </c>
    </row>
    <row r="173" spans="1:19" ht="17.100000000000001" hidden="1" customHeight="1">
      <c r="A173" s="1666"/>
      <c r="B173" s="1678"/>
      <c r="C173" s="1743" t="s">
        <v>795</v>
      </c>
      <c r="D173" s="1746" t="s">
        <v>796</v>
      </c>
      <c r="E173" s="1724"/>
      <c r="F173" s="1724">
        <f t="shared" si="44"/>
        <v>0</v>
      </c>
      <c r="G173" s="1725" t="e">
        <f t="shared" si="35"/>
        <v>#DIV/0!</v>
      </c>
      <c r="H173" s="1635">
        <f t="shared" si="37"/>
        <v>0</v>
      </c>
    </row>
    <row r="174" spans="1:19" ht="51" hidden="1" customHeight="1">
      <c r="A174" s="1666"/>
      <c r="B174" s="1678"/>
      <c r="C174" s="1743" t="s">
        <v>870</v>
      </c>
      <c r="D174" s="1746" t="s">
        <v>871</v>
      </c>
      <c r="E174" s="1724">
        <v>15</v>
      </c>
      <c r="F174" s="1724">
        <f t="shared" si="44"/>
        <v>0</v>
      </c>
      <c r="G174" s="1725">
        <f t="shared" si="35"/>
        <v>0</v>
      </c>
      <c r="H174" s="1635">
        <f t="shared" si="37"/>
        <v>0</v>
      </c>
    </row>
    <row r="175" spans="1:19" ht="17.100000000000001" customHeight="1">
      <c r="A175" s="1666"/>
      <c r="B175" s="1678"/>
      <c r="C175" s="1743" t="s">
        <v>872</v>
      </c>
      <c r="D175" s="1746" t="s">
        <v>873</v>
      </c>
      <c r="E175" s="1724">
        <v>1451404</v>
      </c>
      <c r="F175" s="1724">
        <f t="shared" si="44"/>
        <v>3267000</v>
      </c>
      <c r="G175" s="1725">
        <f t="shared" si="35"/>
        <v>2.2509239329642194</v>
      </c>
      <c r="H175" s="1635">
        <f t="shared" si="37"/>
        <v>3267000</v>
      </c>
      <c r="R175" s="1636">
        <v>3267000</v>
      </c>
    </row>
    <row r="176" spans="1:19" ht="17.100000000000001" customHeight="1">
      <c r="A176" s="1666"/>
      <c r="B176" s="1678"/>
      <c r="C176" s="1743" t="s">
        <v>874</v>
      </c>
      <c r="D176" s="1746" t="s">
        <v>875</v>
      </c>
      <c r="E176" s="1724">
        <v>5000</v>
      </c>
      <c r="F176" s="1724">
        <f t="shared" si="44"/>
        <v>5000</v>
      </c>
      <c r="G176" s="1725">
        <f t="shared" si="35"/>
        <v>1</v>
      </c>
      <c r="H176" s="1635">
        <f t="shared" si="37"/>
        <v>5000</v>
      </c>
      <c r="R176" s="1636">
        <v>5000</v>
      </c>
    </row>
    <row r="177" spans="1:19" ht="17.100000000000001" customHeight="1">
      <c r="A177" s="1666"/>
      <c r="B177" s="1678"/>
      <c r="C177" s="1759"/>
      <c r="D177" s="1759"/>
      <c r="E177" s="1760"/>
      <c r="F177" s="1760"/>
      <c r="G177" s="1761"/>
      <c r="H177" s="1635">
        <f t="shared" si="37"/>
        <v>0</v>
      </c>
    </row>
    <row r="178" spans="1:19" ht="17.100000000000001" customHeight="1">
      <c r="A178" s="1666"/>
      <c r="B178" s="1678"/>
      <c r="C178" s="3495" t="s">
        <v>857</v>
      </c>
      <c r="D178" s="3495"/>
      <c r="E178" s="1749">
        <f>E179+E180</f>
        <v>3314708</v>
      </c>
      <c r="F178" s="1749">
        <f t="shared" ref="F178" si="45">F179</f>
        <v>3371500</v>
      </c>
      <c r="G178" s="1750">
        <f t="shared" si="35"/>
        <v>1.017133334218278</v>
      </c>
      <c r="H178" s="1635">
        <f t="shared" si="37"/>
        <v>0</v>
      </c>
    </row>
    <row r="179" spans="1:19" ht="53.25" customHeight="1" thickBot="1">
      <c r="A179" s="1666"/>
      <c r="B179" s="1678"/>
      <c r="C179" s="1743" t="s">
        <v>409</v>
      </c>
      <c r="D179" s="1746" t="s">
        <v>876</v>
      </c>
      <c r="E179" s="1724">
        <v>3314000</v>
      </c>
      <c r="F179" s="1724">
        <f>H179</f>
        <v>3371500</v>
      </c>
      <c r="G179" s="1750">
        <f t="shared" si="35"/>
        <v>1.0173506336753169</v>
      </c>
      <c r="H179" s="1635">
        <f t="shared" si="37"/>
        <v>3371500</v>
      </c>
      <c r="R179" s="1636">
        <v>3371500</v>
      </c>
    </row>
    <row r="180" spans="1:19" ht="53.25" hidden="1" customHeight="1" thickBot="1">
      <c r="A180" s="1666"/>
      <c r="B180" s="1678"/>
      <c r="C180" s="1762" t="s">
        <v>359</v>
      </c>
      <c r="D180" s="1763" t="s">
        <v>379</v>
      </c>
      <c r="E180" s="1764">
        <v>708</v>
      </c>
      <c r="F180" s="1724">
        <f>H180</f>
        <v>0</v>
      </c>
      <c r="G180" s="1750">
        <f t="shared" si="35"/>
        <v>0</v>
      </c>
      <c r="H180" s="1635">
        <f t="shared" si="37"/>
        <v>0</v>
      </c>
    </row>
    <row r="181" spans="1:19" ht="17.100000000000001" customHeight="1" thickBot="1">
      <c r="A181" s="1660" t="s">
        <v>365</v>
      </c>
      <c r="B181" s="1765"/>
      <c r="C181" s="1766"/>
      <c r="D181" s="1767" t="s">
        <v>877</v>
      </c>
      <c r="E181" s="1768">
        <f>SUM(E182)</f>
        <v>490000</v>
      </c>
      <c r="F181" s="1768">
        <f t="shared" ref="E181:F182" si="46">SUM(F182)</f>
        <v>500000</v>
      </c>
      <c r="G181" s="1769">
        <f t="shared" si="35"/>
        <v>1.0204081632653061</v>
      </c>
      <c r="H181" s="1635">
        <f t="shared" si="37"/>
        <v>0</v>
      </c>
    </row>
    <row r="182" spans="1:19" ht="42.75" customHeight="1" thickBot="1">
      <c r="A182" s="1666"/>
      <c r="B182" s="1734" t="s">
        <v>367</v>
      </c>
      <c r="C182" s="1735"/>
      <c r="D182" s="1736" t="s">
        <v>878</v>
      </c>
      <c r="E182" s="1737">
        <f t="shared" si="46"/>
        <v>490000</v>
      </c>
      <c r="F182" s="1737">
        <f t="shared" si="46"/>
        <v>500000</v>
      </c>
      <c r="G182" s="1738">
        <f t="shared" si="35"/>
        <v>1.0204081632653061</v>
      </c>
      <c r="H182" s="1635">
        <f t="shared" si="37"/>
        <v>0</v>
      </c>
    </row>
    <row r="183" spans="1:19" ht="17.100000000000001" customHeight="1">
      <c r="A183" s="1666"/>
      <c r="B183" s="3467"/>
      <c r="C183" s="3472" t="s">
        <v>755</v>
      </c>
      <c r="D183" s="3472"/>
      <c r="E183" s="1672">
        <f t="shared" ref="E183:F183" si="47">E184</f>
        <v>490000</v>
      </c>
      <c r="F183" s="1672">
        <f t="shared" si="47"/>
        <v>500000</v>
      </c>
      <c r="G183" s="1673">
        <f t="shared" si="35"/>
        <v>1.0204081632653061</v>
      </c>
      <c r="H183" s="1635">
        <f t="shared" si="37"/>
        <v>0</v>
      </c>
    </row>
    <row r="184" spans="1:19" ht="17.100000000000001" customHeight="1">
      <c r="A184" s="1666"/>
      <c r="B184" s="3467"/>
      <c r="C184" s="3466" t="s">
        <v>825</v>
      </c>
      <c r="D184" s="3466"/>
      <c r="E184" s="1724">
        <f>SUM(E185:E213)</f>
        <v>490000</v>
      </c>
      <c r="F184" s="1724">
        <f>SUM(F185:F213)</f>
        <v>500000</v>
      </c>
      <c r="G184" s="1725">
        <f t="shared" si="35"/>
        <v>1.0204081632653061</v>
      </c>
      <c r="H184" s="1635">
        <f t="shared" si="37"/>
        <v>0</v>
      </c>
    </row>
    <row r="185" spans="1:19" ht="51" hidden="1" customHeight="1">
      <c r="A185" s="1666"/>
      <c r="B185" s="3467"/>
      <c r="C185" s="1755" t="s">
        <v>653</v>
      </c>
      <c r="D185" s="1770" t="s">
        <v>879</v>
      </c>
      <c r="E185" s="1724">
        <v>0</v>
      </c>
      <c r="F185" s="1724">
        <f>H185</f>
        <v>0</v>
      </c>
      <c r="G185" s="1725" t="e">
        <f t="shared" si="35"/>
        <v>#DIV/0!</v>
      </c>
      <c r="H185" s="1635">
        <f t="shared" si="37"/>
        <v>0</v>
      </c>
    </row>
    <row r="186" spans="1:19" ht="54.75" hidden="1" customHeight="1">
      <c r="A186" s="1666"/>
      <c r="B186" s="3467"/>
      <c r="C186" s="1755" t="s">
        <v>591</v>
      </c>
      <c r="D186" s="1770" t="s">
        <v>879</v>
      </c>
      <c r="E186" s="1724">
        <v>0</v>
      </c>
      <c r="F186" s="1724">
        <f>H186</f>
        <v>0</v>
      </c>
      <c r="G186" s="1725" t="e">
        <f t="shared" si="35"/>
        <v>#DIV/0!</v>
      </c>
      <c r="H186" s="1635">
        <f t="shared" si="37"/>
        <v>0</v>
      </c>
    </row>
    <row r="187" spans="1:19" ht="17.100000000000001" customHeight="1">
      <c r="A187" s="1666"/>
      <c r="B187" s="3467"/>
      <c r="C187" s="1743" t="s">
        <v>828</v>
      </c>
      <c r="D187" s="1746" t="s">
        <v>759</v>
      </c>
      <c r="E187" s="1724">
        <v>245125</v>
      </c>
      <c r="F187" s="1724">
        <f>H187</f>
        <v>265500</v>
      </c>
      <c r="G187" s="1725">
        <f t="shared" si="35"/>
        <v>1.0831208567057624</v>
      </c>
      <c r="H187" s="1635">
        <f t="shared" si="37"/>
        <v>265500</v>
      </c>
      <c r="S187" s="1636">
        <v>265500</v>
      </c>
    </row>
    <row r="188" spans="1:19" ht="17.100000000000001" customHeight="1">
      <c r="A188" s="1666"/>
      <c r="B188" s="1678"/>
      <c r="C188" s="1743" t="s">
        <v>829</v>
      </c>
      <c r="D188" s="1746" t="s">
        <v>759</v>
      </c>
      <c r="E188" s="1724">
        <v>82375</v>
      </c>
      <c r="F188" s="1724">
        <f t="shared" ref="F188:F213" si="48">H188</f>
        <v>88500</v>
      </c>
      <c r="G188" s="1725">
        <f t="shared" si="35"/>
        <v>1.0743550834597875</v>
      </c>
      <c r="H188" s="1635">
        <f t="shared" si="37"/>
        <v>88500</v>
      </c>
      <c r="S188" s="1636">
        <v>88500</v>
      </c>
    </row>
    <row r="189" spans="1:19" ht="17.100000000000001" customHeight="1">
      <c r="A189" s="1666"/>
      <c r="B189" s="1678"/>
      <c r="C189" s="1743" t="s">
        <v>830</v>
      </c>
      <c r="D189" s="1746" t="s">
        <v>761</v>
      </c>
      <c r="E189" s="1724">
        <v>18000</v>
      </c>
      <c r="F189" s="1724">
        <f t="shared" si="48"/>
        <v>19500</v>
      </c>
      <c r="G189" s="1725">
        <f t="shared" si="35"/>
        <v>1.0833333333333333</v>
      </c>
      <c r="H189" s="1635">
        <f t="shared" si="37"/>
        <v>19500</v>
      </c>
      <c r="S189" s="1636">
        <v>19500</v>
      </c>
    </row>
    <row r="190" spans="1:19" ht="17.100000000000001" customHeight="1">
      <c r="A190" s="1666"/>
      <c r="B190" s="1678"/>
      <c r="C190" s="1743" t="s">
        <v>831</v>
      </c>
      <c r="D190" s="1746" t="s">
        <v>761</v>
      </c>
      <c r="E190" s="1724">
        <v>6000</v>
      </c>
      <c r="F190" s="1724">
        <f t="shared" si="48"/>
        <v>6500</v>
      </c>
      <c r="G190" s="1725">
        <f t="shared" si="35"/>
        <v>1.0833333333333333</v>
      </c>
      <c r="H190" s="1635">
        <f t="shared" si="37"/>
        <v>6500</v>
      </c>
      <c r="S190" s="1636">
        <v>6500</v>
      </c>
    </row>
    <row r="191" spans="1:19" ht="17.100000000000001" customHeight="1">
      <c r="A191" s="1666"/>
      <c r="B191" s="1678"/>
      <c r="C191" s="1743" t="s">
        <v>832</v>
      </c>
      <c r="D191" s="1746" t="s">
        <v>763</v>
      </c>
      <c r="E191" s="1724">
        <v>50325</v>
      </c>
      <c r="F191" s="1724">
        <f t="shared" si="48"/>
        <v>50250</v>
      </c>
      <c r="G191" s="1725">
        <f t="shared" si="35"/>
        <v>0.99850968703427723</v>
      </c>
      <c r="H191" s="1635">
        <f t="shared" si="37"/>
        <v>50250</v>
      </c>
      <c r="S191" s="1636">
        <v>50250</v>
      </c>
    </row>
    <row r="192" spans="1:19" ht="17.100000000000001" customHeight="1">
      <c r="A192" s="1666"/>
      <c r="B192" s="1678"/>
      <c r="C192" s="1743" t="s">
        <v>833</v>
      </c>
      <c r="D192" s="1746" t="s">
        <v>763</v>
      </c>
      <c r="E192" s="1724">
        <v>16775</v>
      </c>
      <c r="F192" s="1724">
        <f t="shared" si="48"/>
        <v>16750</v>
      </c>
      <c r="G192" s="1725">
        <f t="shared" si="35"/>
        <v>0.99850968703427723</v>
      </c>
      <c r="H192" s="1635">
        <f t="shared" si="37"/>
        <v>16750</v>
      </c>
      <c r="S192" s="1636">
        <v>16750</v>
      </c>
    </row>
    <row r="193" spans="1:19" ht="27.75" customHeight="1">
      <c r="A193" s="1666"/>
      <c r="B193" s="1678"/>
      <c r="C193" s="1743" t="s">
        <v>834</v>
      </c>
      <c r="D193" s="1746" t="s">
        <v>1440</v>
      </c>
      <c r="E193" s="1724">
        <v>7050</v>
      </c>
      <c r="F193" s="1724">
        <f t="shared" si="48"/>
        <v>7500</v>
      </c>
      <c r="G193" s="1725">
        <f t="shared" si="35"/>
        <v>1.0638297872340425</v>
      </c>
      <c r="H193" s="1635">
        <f t="shared" si="37"/>
        <v>7500</v>
      </c>
      <c r="S193" s="1636">
        <v>7500</v>
      </c>
    </row>
    <row r="194" spans="1:19" ht="28.5" customHeight="1">
      <c r="A194" s="1666"/>
      <c r="B194" s="1678"/>
      <c r="C194" s="1743" t="s">
        <v>835</v>
      </c>
      <c r="D194" s="1746" t="s">
        <v>1440</v>
      </c>
      <c r="E194" s="1724">
        <v>2350</v>
      </c>
      <c r="F194" s="1724">
        <f t="shared" si="48"/>
        <v>2500</v>
      </c>
      <c r="G194" s="1725">
        <f t="shared" si="35"/>
        <v>1.0638297872340425</v>
      </c>
      <c r="H194" s="1635">
        <f t="shared" si="37"/>
        <v>2500</v>
      </c>
      <c r="S194" s="1636">
        <v>2500</v>
      </c>
    </row>
    <row r="195" spans="1:19" ht="17.100000000000001" hidden="1" customHeight="1">
      <c r="A195" s="1666"/>
      <c r="B195" s="1678"/>
      <c r="C195" s="1743" t="s">
        <v>836</v>
      </c>
      <c r="D195" s="1746" t="s">
        <v>767</v>
      </c>
      <c r="E195" s="1724"/>
      <c r="F195" s="1724">
        <f t="shared" si="48"/>
        <v>0</v>
      </c>
      <c r="G195" s="1725" t="e">
        <f t="shared" si="35"/>
        <v>#DIV/0!</v>
      </c>
      <c r="H195" s="1635">
        <f t="shared" si="37"/>
        <v>0</v>
      </c>
    </row>
    <row r="196" spans="1:19" ht="17.100000000000001" hidden="1" customHeight="1">
      <c r="A196" s="1666"/>
      <c r="B196" s="1678"/>
      <c r="C196" s="1743" t="s">
        <v>837</v>
      </c>
      <c r="D196" s="1746" t="s">
        <v>767</v>
      </c>
      <c r="E196" s="1724"/>
      <c r="F196" s="1724">
        <f t="shared" si="48"/>
        <v>0</v>
      </c>
      <c r="G196" s="1725" t="e">
        <f t="shared" si="35"/>
        <v>#DIV/0!</v>
      </c>
      <c r="H196" s="1635">
        <f t="shared" si="37"/>
        <v>0</v>
      </c>
    </row>
    <row r="197" spans="1:19" ht="17.100000000000001" customHeight="1">
      <c r="A197" s="1666"/>
      <c r="B197" s="1678"/>
      <c r="C197" s="1743" t="s">
        <v>841</v>
      </c>
      <c r="D197" s="1746" t="s">
        <v>774</v>
      </c>
      <c r="E197" s="1724">
        <v>5250</v>
      </c>
      <c r="F197" s="1724">
        <f t="shared" si="48"/>
        <v>15000</v>
      </c>
      <c r="G197" s="1725">
        <f t="shared" si="35"/>
        <v>2.8571428571428572</v>
      </c>
      <c r="H197" s="1635">
        <f t="shared" si="37"/>
        <v>15000</v>
      </c>
      <c r="S197" s="1636">
        <v>15000</v>
      </c>
    </row>
    <row r="198" spans="1:19" ht="17.100000000000001" customHeight="1">
      <c r="A198" s="1666"/>
      <c r="B198" s="1678"/>
      <c r="C198" s="1743" t="s">
        <v>842</v>
      </c>
      <c r="D198" s="1746" t="s">
        <v>774</v>
      </c>
      <c r="E198" s="1724">
        <v>1750</v>
      </c>
      <c r="F198" s="1724">
        <f t="shared" si="48"/>
        <v>5000</v>
      </c>
      <c r="G198" s="1725">
        <f t="shared" si="35"/>
        <v>2.8571428571428572</v>
      </c>
      <c r="H198" s="1635">
        <f t="shared" si="37"/>
        <v>5000</v>
      </c>
      <c r="S198" s="1636">
        <v>5000</v>
      </c>
    </row>
    <row r="199" spans="1:19" ht="17.100000000000001" customHeight="1">
      <c r="A199" s="1666"/>
      <c r="B199" s="1678"/>
      <c r="C199" s="1743" t="s">
        <v>843</v>
      </c>
      <c r="D199" s="1746" t="s">
        <v>780</v>
      </c>
      <c r="E199" s="1724">
        <v>2250</v>
      </c>
      <c r="F199" s="1724">
        <f t="shared" si="48"/>
        <v>2250</v>
      </c>
      <c r="G199" s="1725">
        <f t="shared" si="35"/>
        <v>1</v>
      </c>
      <c r="H199" s="1635">
        <f t="shared" si="37"/>
        <v>2250</v>
      </c>
      <c r="S199" s="1636">
        <v>2250</v>
      </c>
    </row>
    <row r="200" spans="1:19" ht="17.100000000000001" customHeight="1">
      <c r="A200" s="1666"/>
      <c r="B200" s="1678"/>
      <c r="C200" s="1743" t="s">
        <v>844</v>
      </c>
      <c r="D200" s="1746" t="s">
        <v>780</v>
      </c>
      <c r="E200" s="1724">
        <v>750</v>
      </c>
      <c r="F200" s="1724">
        <f t="shared" si="48"/>
        <v>750</v>
      </c>
      <c r="G200" s="1725">
        <f t="shared" si="35"/>
        <v>1</v>
      </c>
      <c r="H200" s="1635">
        <f t="shared" si="37"/>
        <v>750</v>
      </c>
      <c r="S200" s="1636">
        <v>750</v>
      </c>
    </row>
    <row r="201" spans="1:19" ht="17.100000000000001" customHeight="1">
      <c r="A201" s="1666"/>
      <c r="B201" s="1678"/>
      <c r="C201" s="1743" t="s">
        <v>845</v>
      </c>
      <c r="D201" s="1746" t="s">
        <v>784</v>
      </c>
      <c r="E201" s="1724">
        <v>33750</v>
      </c>
      <c r="F201" s="1724">
        <f t="shared" si="48"/>
        <v>7500</v>
      </c>
      <c r="G201" s="1725">
        <f t="shared" si="35"/>
        <v>0.22222222222222221</v>
      </c>
      <c r="H201" s="1635">
        <f t="shared" si="37"/>
        <v>7500</v>
      </c>
      <c r="S201" s="1636">
        <v>7500</v>
      </c>
    </row>
    <row r="202" spans="1:19" ht="15.75" customHeight="1">
      <c r="A202" s="1666"/>
      <c r="B202" s="1678"/>
      <c r="C202" s="1743" t="s">
        <v>846</v>
      </c>
      <c r="D202" s="1746" t="s">
        <v>784</v>
      </c>
      <c r="E202" s="1724">
        <v>11250</v>
      </c>
      <c r="F202" s="1724">
        <f t="shared" si="48"/>
        <v>2500</v>
      </c>
      <c r="G202" s="1725">
        <f t="shared" si="35"/>
        <v>0.22222222222222221</v>
      </c>
      <c r="H202" s="1635">
        <f t="shared" si="37"/>
        <v>2500</v>
      </c>
      <c r="S202" s="1636">
        <v>2500</v>
      </c>
    </row>
    <row r="203" spans="1:19" ht="15.75" hidden="1" customHeight="1">
      <c r="A203" s="1666"/>
      <c r="B203" s="1678"/>
      <c r="C203" s="1743" t="s">
        <v>847</v>
      </c>
      <c r="D203" s="1746" t="s">
        <v>880</v>
      </c>
      <c r="E203" s="1724"/>
      <c r="F203" s="1724">
        <f t="shared" si="48"/>
        <v>0</v>
      </c>
      <c r="G203" s="1725" t="e">
        <f t="shared" si="35"/>
        <v>#DIV/0!</v>
      </c>
      <c r="H203" s="1635">
        <f t="shared" si="37"/>
        <v>0</v>
      </c>
    </row>
    <row r="204" spans="1:19" ht="16.5" hidden="1" customHeight="1">
      <c r="A204" s="1666"/>
      <c r="B204" s="1678"/>
      <c r="C204" s="1743" t="s">
        <v>848</v>
      </c>
      <c r="D204" s="1746" t="s">
        <v>880</v>
      </c>
      <c r="E204" s="1724"/>
      <c r="F204" s="1724">
        <f t="shared" si="48"/>
        <v>0</v>
      </c>
      <c r="G204" s="1725" t="e">
        <f t="shared" si="35"/>
        <v>#DIV/0!</v>
      </c>
      <c r="H204" s="1635">
        <f t="shared" si="37"/>
        <v>0</v>
      </c>
    </row>
    <row r="205" spans="1:19" ht="17.100000000000001" customHeight="1">
      <c r="A205" s="1666"/>
      <c r="B205" s="1678"/>
      <c r="C205" s="1743" t="s">
        <v>849</v>
      </c>
      <c r="D205" s="1746" t="s">
        <v>792</v>
      </c>
      <c r="E205" s="1724">
        <v>1500</v>
      </c>
      <c r="F205" s="1724">
        <f t="shared" si="48"/>
        <v>1500</v>
      </c>
      <c r="G205" s="1725">
        <f t="shared" si="35"/>
        <v>1</v>
      </c>
      <c r="H205" s="1635">
        <f t="shared" si="37"/>
        <v>1500</v>
      </c>
      <c r="S205" s="1636">
        <v>1500</v>
      </c>
    </row>
    <row r="206" spans="1:19" ht="17.100000000000001" customHeight="1">
      <c r="A206" s="1666"/>
      <c r="B206" s="1678"/>
      <c r="C206" s="1743" t="s">
        <v>850</v>
      </c>
      <c r="D206" s="1746" t="s">
        <v>792</v>
      </c>
      <c r="E206" s="1724">
        <v>500</v>
      </c>
      <c r="F206" s="1724">
        <f t="shared" si="48"/>
        <v>500</v>
      </c>
      <c r="G206" s="1725">
        <f t="shared" si="35"/>
        <v>1</v>
      </c>
      <c r="H206" s="1635">
        <f t="shared" si="37"/>
        <v>500</v>
      </c>
      <c r="S206" s="1636">
        <v>500</v>
      </c>
    </row>
    <row r="207" spans="1:19" ht="15" customHeight="1">
      <c r="A207" s="1666"/>
      <c r="B207" s="1678"/>
      <c r="C207" s="1743" t="s">
        <v>851</v>
      </c>
      <c r="D207" s="1746" t="s">
        <v>794</v>
      </c>
      <c r="E207" s="1724">
        <v>750</v>
      </c>
      <c r="F207" s="1724">
        <f t="shared" si="48"/>
        <v>750</v>
      </c>
      <c r="G207" s="1725">
        <f t="shared" si="35"/>
        <v>1</v>
      </c>
      <c r="H207" s="1635">
        <f t="shared" si="37"/>
        <v>750</v>
      </c>
      <c r="S207" s="1636">
        <v>750</v>
      </c>
    </row>
    <row r="208" spans="1:19" ht="15" customHeight="1">
      <c r="A208" s="1666"/>
      <c r="B208" s="1678"/>
      <c r="C208" s="1743" t="s">
        <v>852</v>
      </c>
      <c r="D208" s="1746" t="s">
        <v>794</v>
      </c>
      <c r="E208" s="1724">
        <v>250</v>
      </c>
      <c r="F208" s="1724">
        <f>H208</f>
        <v>250</v>
      </c>
      <c r="G208" s="1725">
        <f t="shared" si="35"/>
        <v>1</v>
      </c>
      <c r="H208" s="1635">
        <f t="shared" si="37"/>
        <v>250</v>
      </c>
      <c r="S208" s="1636">
        <v>250</v>
      </c>
    </row>
    <row r="209" spans="1:24" ht="51.75" hidden="1" customHeight="1">
      <c r="A209" s="1666"/>
      <c r="B209" s="1678"/>
      <c r="C209" s="1743" t="s">
        <v>881</v>
      </c>
      <c r="D209" s="1746" t="s">
        <v>882</v>
      </c>
      <c r="E209" s="1724"/>
      <c r="F209" s="1724">
        <f t="shared" si="48"/>
        <v>0</v>
      </c>
      <c r="G209" s="1725" t="e">
        <f t="shared" ref="G209:G272" si="49">F209/E209</f>
        <v>#DIV/0!</v>
      </c>
      <c r="H209" s="1635">
        <f t="shared" si="37"/>
        <v>0</v>
      </c>
    </row>
    <row r="210" spans="1:24" ht="16.5" customHeight="1">
      <c r="A210" s="1666"/>
      <c r="B210" s="1678"/>
      <c r="C210" s="1743" t="s">
        <v>853</v>
      </c>
      <c r="D210" s="1746" t="s">
        <v>806</v>
      </c>
      <c r="E210" s="1724">
        <v>1500</v>
      </c>
      <c r="F210" s="1724">
        <f t="shared" si="48"/>
        <v>3000</v>
      </c>
      <c r="G210" s="1725">
        <f t="shared" si="49"/>
        <v>2</v>
      </c>
      <c r="H210" s="1635">
        <f t="shared" si="37"/>
        <v>3000</v>
      </c>
      <c r="S210" s="1636">
        <v>3000</v>
      </c>
    </row>
    <row r="211" spans="1:24" ht="18.75" customHeight="1">
      <c r="A211" s="1666"/>
      <c r="B211" s="1678"/>
      <c r="C211" s="1743" t="s">
        <v>854</v>
      </c>
      <c r="D211" s="1746" t="s">
        <v>806</v>
      </c>
      <c r="E211" s="1724">
        <v>500</v>
      </c>
      <c r="F211" s="1724">
        <f t="shared" si="48"/>
        <v>1000</v>
      </c>
      <c r="G211" s="1725">
        <f t="shared" si="49"/>
        <v>2</v>
      </c>
      <c r="H211" s="1635">
        <f t="shared" si="37"/>
        <v>1000</v>
      </c>
      <c r="S211" s="1636">
        <v>1000</v>
      </c>
    </row>
    <row r="212" spans="1:24" ht="18.75" customHeight="1">
      <c r="A212" s="1666"/>
      <c r="B212" s="1678"/>
      <c r="C212" s="1743" t="s">
        <v>855</v>
      </c>
      <c r="D212" s="1771" t="s">
        <v>769</v>
      </c>
      <c r="E212" s="1724">
        <v>1500</v>
      </c>
      <c r="F212" s="1724">
        <f t="shared" si="48"/>
        <v>2250</v>
      </c>
      <c r="G212" s="1725">
        <f t="shared" si="49"/>
        <v>1.5</v>
      </c>
      <c r="H212" s="1635">
        <f t="shared" si="37"/>
        <v>2250</v>
      </c>
      <c r="S212" s="1636">
        <v>2250</v>
      </c>
    </row>
    <row r="213" spans="1:24" ht="18.75" customHeight="1" thickBot="1">
      <c r="A213" s="1792"/>
      <c r="B213" s="3183"/>
      <c r="C213" s="3081" t="s">
        <v>856</v>
      </c>
      <c r="D213" s="3082" t="s">
        <v>769</v>
      </c>
      <c r="E213" s="1694">
        <v>500</v>
      </c>
      <c r="F213" s="1694">
        <f t="shared" si="48"/>
        <v>750</v>
      </c>
      <c r="G213" s="1725">
        <f t="shared" si="49"/>
        <v>1.5</v>
      </c>
      <c r="H213" s="1635">
        <f t="shared" si="37"/>
        <v>750</v>
      </c>
      <c r="S213" s="1636">
        <v>750</v>
      </c>
    </row>
    <row r="214" spans="1:24" ht="17.100000000000001" customHeight="1" thickBot="1">
      <c r="A214" s="1660" t="s">
        <v>373</v>
      </c>
      <c r="B214" s="1765"/>
      <c r="C214" s="1772"/>
      <c r="D214" s="1773" t="s">
        <v>883</v>
      </c>
      <c r="E214" s="1768">
        <f>E215</f>
        <v>19648445</v>
      </c>
      <c r="F214" s="1768">
        <f t="shared" ref="F214" si="50">F215</f>
        <v>16811984</v>
      </c>
      <c r="G214" s="1769">
        <f t="shared" si="49"/>
        <v>0.85563941574002422</v>
      </c>
      <c r="H214" s="1635">
        <f t="shared" si="37"/>
        <v>0</v>
      </c>
    </row>
    <row r="215" spans="1:24" ht="17.100000000000001" customHeight="1" thickBot="1">
      <c r="A215" s="1666"/>
      <c r="B215" s="1734" t="s">
        <v>375</v>
      </c>
      <c r="C215" s="1735"/>
      <c r="D215" s="1736" t="s">
        <v>376</v>
      </c>
      <c r="E215" s="1737">
        <f>E216+E238</f>
        <v>19648445</v>
      </c>
      <c r="F215" s="1737">
        <f>F216+F238</f>
        <v>16811984</v>
      </c>
      <c r="G215" s="1738">
        <f t="shared" si="49"/>
        <v>0.85563941574002422</v>
      </c>
      <c r="H215" s="1635">
        <f t="shared" ref="H215:H280" si="51">SUM(I215:AE215)</f>
        <v>0</v>
      </c>
    </row>
    <row r="216" spans="1:24" ht="17.100000000000001" customHeight="1">
      <c r="A216" s="1666"/>
      <c r="B216" s="3467"/>
      <c r="C216" s="3472" t="s">
        <v>755</v>
      </c>
      <c r="D216" s="3472"/>
      <c r="E216" s="1672">
        <f>E217+E223</f>
        <v>19591886</v>
      </c>
      <c r="F216" s="1672">
        <f t="shared" ref="F216" si="52">F217+F223</f>
        <v>16811984</v>
      </c>
      <c r="G216" s="1673">
        <f t="shared" si="49"/>
        <v>0.85810952554542219</v>
      </c>
      <c r="H216" s="1635">
        <f t="shared" si="51"/>
        <v>0</v>
      </c>
    </row>
    <row r="217" spans="1:24" ht="17.100000000000001" customHeight="1">
      <c r="A217" s="1666"/>
      <c r="B217" s="3467"/>
      <c r="C217" s="3466" t="s">
        <v>857</v>
      </c>
      <c r="D217" s="3466"/>
      <c r="E217" s="1724">
        <f>SUM(E218:E221)</f>
        <v>7630610</v>
      </c>
      <c r="F217" s="1724">
        <f t="shared" ref="F217" si="53">SUM(F218:F221)</f>
        <v>2985463</v>
      </c>
      <c r="G217" s="1725">
        <f t="shared" si="49"/>
        <v>0.39124827503961018</v>
      </c>
      <c r="H217" s="1635">
        <f t="shared" si="51"/>
        <v>0</v>
      </c>
    </row>
    <row r="218" spans="1:24" ht="63.75">
      <c r="A218" s="1666"/>
      <c r="B218" s="3467"/>
      <c r="C218" s="1743" t="s">
        <v>649</v>
      </c>
      <c r="D218" s="1746" t="s">
        <v>884</v>
      </c>
      <c r="E218" s="1774">
        <v>7630610</v>
      </c>
      <c r="F218" s="1774">
        <f>H218</f>
        <v>2985463</v>
      </c>
      <c r="G218" s="1775">
        <f t="shared" si="49"/>
        <v>0.39124827503961018</v>
      </c>
      <c r="H218" s="1635">
        <f t="shared" si="51"/>
        <v>2985463</v>
      </c>
      <c r="W218" s="1636">
        <v>2985463</v>
      </c>
    </row>
    <row r="219" spans="1:24" ht="51" hidden="1">
      <c r="A219" s="1666"/>
      <c r="B219" s="3467"/>
      <c r="C219" s="1747" t="s">
        <v>486</v>
      </c>
      <c r="D219" s="1748" t="s">
        <v>827</v>
      </c>
      <c r="E219" s="1732"/>
      <c r="F219" s="1774">
        <f t="shared" ref="F219:F221" si="54">H219</f>
        <v>0</v>
      </c>
      <c r="G219" s="1733" t="e">
        <f t="shared" si="49"/>
        <v>#DIV/0!</v>
      </c>
      <c r="H219" s="1635">
        <f t="shared" si="51"/>
        <v>0</v>
      </c>
    </row>
    <row r="220" spans="1:24" ht="51" hidden="1">
      <c r="A220" s="1666"/>
      <c r="B220" s="1698"/>
      <c r="C220" s="1776" t="s">
        <v>591</v>
      </c>
      <c r="D220" s="1777" t="s">
        <v>885</v>
      </c>
      <c r="E220" s="1732"/>
      <c r="F220" s="1774">
        <f t="shared" si="54"/>
        <v>0</v>
      </c>
      <c r="G220" s="1733" t="e">
        <f t="shared" si="49"/>
        <v>#DIV/0!</v>
      </c>
      <c r="H220" s="1635">
        <f t="shared" si="51"/>
        <v>0</v>
      </c>
    </row>
    <row r="221" spans="1:24" ht="16.5" hidden="1" customHeight="1">
      <c r="A221" s="1666"/>
      <c r="B221" s="1698"/>
      <c r="C221" s="1778" t="s">
        <v>593</v>
      </c>
      <c r="D221" s="1779" t="s">
        <v>886</v>
      </c>
      <c r="E221" s="1732"/>
      <c r="F221" s="1780">
        <f t="shared" si="54"/>
        <v>0</v>
      </c>
      <c r="G221" s="1733" t="e">
        <f t="shared" si="49"/>
        <v>#DIV/0!</v>
      </c>
      <c r="H221" s="1635">
        <f t="shared" si="51"/>
        <v>0</v>
      </c>
    </row>
    <row r="222" spans="1:24" ht="17.100000000000001" customHeight="1">
      <c r="A222" s="1666"/>
      <c r="B222" s="1698"/>
      <c r="C222" s="1781"/>
      <c r="D222" s="1782"/>
      <c r="E222" s="1716"/>
      <c r="F222" s="1716"/>
      <c r="G222" s="1717"/>
      <c r="H222" s="1635">
        <f t="shared" si="51"/>
        <v>0</v>
      </c>
    </row>
    <row r="223" spans="1:24" ht="17.100000000000001" customHeight="1">
      <c r="A223" s="1666"/>
      <c r="B223" s="1698"/>
      <c r="C223" s="3495" t="s">
        <v>825</v>
      </c>
      <c r="D223" s="3495"/>
      <c r="E223" s="1783">
        <f>SUM(E224:E236)</f>
        <v>11961276</v>
      </c>
      <c r="F223" s="1783">
        <f>SUM(F224:F235)</f>
        <v>13826521</v>
      </c>
      <c r="G223" s="1784">
        <f t="shared" si="49"/>
        <v>1.1559403026901143</v>
      </c>
      <c r="H223" s="1635">
        <f t="shared" si="51"/>
        <v>0</v>
      </c>
    </row>
    <row r="224" spans="1:24" ht="63.75" customHeight="1">
      <c r="A224" s="1666"/>
      <c r="B224" s="1698"/>
      <c r="C224" s="1726" t="s">
        <v>489</v>
      </c>
      <c r="D224" s="1785" t="s">
        <v>884</v>
      </c>
      <c r="E224" s="1721">
        <v>9934337</v>
      </c>
      <c r="F224" s="1721">
        <f>H224</f>
        <v>13231704</v>
      </c>
      <c r="G224" s="1717">
        <f t="shared" si="49"/>
        <v>1.3319161610885557</v>
      </c>
      <c r="H224" s="1635">
        <f t="shared" si="51"/>
        <v>13231704</v>
      </c>
      <c r="X224" s="1636">
        <v>13231704</v>
      </c>
    </row>
    <row r="225" spans="1:24" ht="52.5" hidden="1" customHeight="1">
      <c r="A225" s="1666"/>
      <c r="B225" s="1698"/>
      <c r="C225" s="1706" t="s">
        <v>457</v>
      </c>
      <c r="D225" s="1748" t="s">
        <v>379</v>
      </c>
      <c r="E225" s="1721"/>
      <c r="F225" s="1721">
        <f t="shared" ref="F225:F236" si="55">H225</f>
        <v>0</v>
      </c>
      <c r="G225" s="1717" t="e">
        <f t="shared" si="49"/>
        <v>#DIV/0!</v>
      </c>
      <c r="H225" s="1635">
        <f t="shared" si="51"/>
        <v>0</v>
      </c>
    </row>
    <row r="226" spans="1:24" ht="16.5" hidden="1" customHeight="1">
      <c r="A226" s="1666"/>
      <c r="B226" s="1698"/>
      <c r="C226" s="1747" t="s">
        <v>637</v>
      </c>
      <c r="D226" s="1748" t="s">
        <v>886</v>
      </c>
      <c r="E226" s="1721">
        <v>1879490</v>
      </c>
      <c r="F226" s="1721">
        <f t="shared" si="55"/>
        <v>0</v>
      </c>
      <c r="G226" s="1717">
        <f t="shared" si="49"/>
        <v>0</v>
      </c>
      <c r="H226" s="1635">
        <f t="shared" si="51"/>
        <v>0</v>
      </c>
    </row>
    <row r="227" spans="1:24" ht="17.100000000000001" hidden="1" customHeight="1">
      <c r="A227" s="1666"/>
      <c r="B227" s="1698"/>
      <c r="C227" s="1753" t="s">
        <v>887</v>
      </c>
      <c r="D227" s="1754" t="s">
        <v>759</v>
      </c>
      <c r="E227" s="1721">
        <v>124749</v>
      </c>
      <c r="F227" s="1721">
        <f t="shared" si="55"/>
        <v>0</v>
      </c>
      <c r="G227" s="1717">
        <f t="shared" si="49"/>
        <v>0</v>
      </c>
      <c r="H227" s="1635">
        <f t="shared" si="51"/>
        <v>0</v>
      </c>
    </row>
    <row r="228" spans="1:24" ht="17.100000000000001" hidden="1" customHeight="1">
      <c r="A228" s="1666"/>
      <c r="B228" s="1698"/>
      <c r="C228" s="1753" t="s">
        <v>888</v>
      </c>
      <c r="D228" s="1754" t="s">
        <v>761</v>
      </c>
      <c r="E228" s="1721">
        <v>0</v>
      </c>
      <c r="F228" s="1721">
        <f t="shared" si="55"/>
        <v>0</v>
      </c>
      <c r="G228" s="1717" t="e">
        <f t="shared" si="49"/>
        <v>#DIV/0!</v>
      </c>
      <c r="H228" s="1635">
        <f t="shared" si="51"/>
        <v>0</v>
      </c>
    </row>
    <row r="229" spans="1:24" ht="17.100000000000001" hidden="1" customHeight="1">
      <c r="A229" s="1666"/>
      <c r="B229" s="1698"/>
      <c r="C229" s="1743" t="s">
        <v>889</v>
      </c>
      <c r="D229" s="1754" t="s">
        <v>763</v>
      </c>
      <c r="E229" s="1721">
        <v>19840</v>
      </c>
      <c r="F229" s="1721">
        <f t="shared" si="55"/>
        <v>0</v>
      </c>
      <c r="G229" s="1717">
        <f t="shared" si="49"/>
        <v>0</v>
      </c>
      <c r="H229" s="1635">
        <f t="shared" si="51"/>
        <v>0</v>
      </c>
    </row>
    <row r="230" spans="1:24" ht="26.25" hidden="1" customHeight="1">
      <c r="A230" s="1666"/>
      <c r="B230" s="1698"/>
      <c r="C230" s="1743" t="s">
        <v>890</v>
      </c>
      <c r="D230" s="1746" t="s">
        <v>765</v>
      </c>
      <c r="E230" s="1721">
        <v>2648</v>
      </c>
      <c r="F230" s="1721">
        <f t="shared" si="55"/>
        <v>0</v>
      </c>
      <c r="G230" s="1717">
        <f t="shared" si="49"/>
        <v>0</v>
      </c>
      <c r="H230" s="1635">
        <f t="shared" si="51"/>
        <v>0</v>
      </c>
    </row>
    <row r="231" spans="1:24" ht="17.100000000000001" hidden="1" customHeight="1">
      <c r="A231" s="1666"/>
      <c r="B231" s="1698"/>
      <c r="C231" s="1743" t="s">
        <v>891</v>
      </c>
      <c r="D231" s="1746" t="s">
        <v>774</v>
      </c>
      <c r="E231" s="1721"/>
      <c r="F231" s="1721">
        <f t="shared" si="55"/>
        <v>0</v>
      </c>
      <c r="G231" s="1717" t="e">
        <f t="shared" si="49"/>
        <v>#DIV/0!</v>
      </c>
      <c r="H231" s="1635">
        <f t="shared" si="51"/>
        <v>0</v>
      </c>
    </row>
    <row r="232" spans="1:24" ht="17.100000000000001" customHeight="1" thickBot="1">
      <c r="A232" s="1666"/>
      <c r="B232" s="1698"/>
      <c r="C232" s="1743" t="s">
        <v>892</v>
      </c>
      <c r="D232" s="1746" t="s">
        <v>784</v>
      </c>
      <c r="E232" s="1721">
        <v>0</v>
      </c>
      <c r="F232" s="1721">
        <f t="shared" si="55"/>
        <v>594817</v>
      </c>
      <c r="G232" s="1717"/>
      <c r="H232" s="1635">
        <f t="shared" si="51"/>
        <v>594817</v>
      </c>
      <c r="X232" s="1636">
        <v>594817</v>
      </c>
    </row>
    <row r="233" spans="1:24" ht="17.100000000000001" hidden="1" customHeight="1">
      <c r="A233" s="1666"/>
      <c r="B233" s="1698"/>
      <c r="C233" s="1743" t="s">
        <v>893</v>
      </c>
      <c r="D233" s="1746" t="s">
        <v>788</v>
      </c>
      <c r="E233" s="1721"/>
      <c r="F233" s="1721">
        <f t="shared" si="55"/>
        <v>0</v>
      </c>
      <c r="G233" s="1717" t="e">
        <f t="shared" si="49"/>
        <v>#DIV/0!</v>
      </c>
      <c r="H233" s="1635">
        <f t="shared" si="51"/>
        <v>0</v>
      </c>
    </row>
    <row r="234" spans="1:24" ht="17.100000000000001" hidden="1" customHeight="1">
      <c r="A234" s="1666"/>
      <c r="B234" s="1698"/>
      <c r="C234" s="1743" t="s">
        <v>894</v>
      </c>
      <c r="D234" s="1746" t="s">
        <v>792</v>
      </c>
      <c r="E234" s="1721"/>
      <c r="F234" s="1721">
        <f t="shared" si="55"/>
        <v>0</v>
      </c>
      <c r="G234" s="1717" t="e">
        <f t="shared" si="49"/>
        <v>#DIV/0!</v>
      </c>
      <c r="H234" s="1635">
        <f t="shared" si="51"/>
        <v>0</v>
      </c>
    </row>
    <row r="235" spans="1:24" ht="17.100000000000001" hidden="1" customHeight="1">
      <c r="A235" s="1666"/>
      <c r="B235" s="1698"/>
      <c r="C235" s="1743" t="s">
        <v>895</v>
      </c>
      <c r="D235" s="1746" t="s">
        <v>806</v>
      </c>
      <c r="E235" s="1721"/>
      <c r="F235" s="1721">
        <f t="shared" si="55"/>
        <v>0</v>
      </c>
      <c r="G235" s="1717" t="e">
        <f t="shared" si="49"/>
        <v>#DIV/0!</v>
      </c>
      <c r="H235" s="1635">
        <f t="shared" si="51"/>
        <v>0</v>
      </c>
    </row>
    <row r="236" spans="1:24" ht="17.100000000000001" hidden="1" customHeight="1">
      <c r="A236" s="1666"/>
      <c r="B236" s="1698"/>
      <c r="C236" s="1743" t="s">
        <v>896</v>
      </c>
      <c r="D236" s="1771" t="s">
        <v>769</v>
      </c>
      <c r="E236" s="1721">
        <v>212</v>
      </c>
      <c r="F236" s="1721">
        <f t="shared" si="55"/>
        <v>0</v>
      </c>
      <c r="G236" s="1717">
        <f t="shared" si="49"/>
        <v>0</v>
      </c>
      <c r="H236" s="1635">
        <f t="shared" si="51"/>
        <v>0</v>
      </c>
    </row>
    <row r="237" spans="1:24" ht="17.100000000000001" hidden="1" customHeight="1" thickBot="1">
      <c r="A237" s="1666"/>
      <c r="B237" s="1698"/>
      <c r="C237" s="3464"/>
      <c r="D237" s="3496"/>
      <c r="E237" s="1721"/>
      <c r="F237" s="1721"/>
      <c r="G237" s="1786"/>
      <c r="H237" s="1635">
        <f t="shared" si="51"/>
        <v>0</v>
      </c>
    </row>
    <row r="238" spans="1:24" ht="17.100000000000001" hidden="1" customHeight="1">
      <c r="A238" s="1666"/>
      <c r="B238" s="1698"/>
      <c r="C238" s="3497" t="s">
        <v>810</v>
      </c>
      <c r="D238" s="3497"/>
      <c r="E238" s="1672">
        <f t="shared" ref="E238:F238" si="56">E239</f>
        <v>56559</v>
      </c>
      <c r="F238" s="1672">
        <f t="shared" si="56"/>
        <v>0</v>
      </c>
      <c r="G238" s="1673">
        <f t="shared" si="49"/>
        <v>0</v>
      </c>
      <c r="H238" s="1635">
        <f t="shared" si="51"/>
        <v>0</v>
      </c>
    </row>
    <row r="239" spans="1:24" ht="17.100000000000001" hidden="1" customHeight="1">
      <c r="A239" s="1666"/>
      <c r="B239" s="1698"/>
      <c r="C239" s="3498" t="s">
        <v>811</v>
      </c>
      <c r="D239" s="3491"/>
      <c r="E239" s="1687">
        <f>SUM(E240:E244)</f>
        <v>56559</v>
      </c>
      <c r="F239" s="1687">
        <f>SUM(F240:F249)</f>
        <v>0</v>
      </c>
      <c r="G239" s="1675">
        <f t="shared" si="49"/>
        <v>0</v>
      </c>
      <c r="H239" s="1635">
        <f t="shared" si="51"/>
        <v>0</v>
      </c>
    </row>
    <row r="240" spans="1:24" ht="16.5" hidden="1" customHeight="1">
      <c r="A240" s="1666"/>
      <c r="B240" s="1698"/>
      <c r="C240" s="1787" t="s">
        <v>897</v>
      </c>
      <c r="D240" s="1746" t="s">
        <v>861</v>
      </c>
      <c r="E240" s="1687"/>
      <c r="F240" s="1687">
        <f>H240</f>
        <v>0</v>
      </c>
      <c r="G240" s="1675" t="e">
        <f t="shared" si="49"/>
        <v>#DIV/0!</v>
      </c>
      <c r="H240" s="1635">
        <f t="shared" si="51"/>
        <v>0</v>
      </c>
    </row>
    <row r="241" spans="1:8" ht="65.25" hidden="1" customHeight="1">
      <c r="A241" s="1666"/>
      <c r="B241" s="1698"/>
      <c r="C241" s="1787" t="s">
        <v>898</v>
      </c>
      <c r="D241" s="1746" t="s">
        <v>899</v>
      </c>
      <c r="E241" s="1687">
        <v>32045</v>
      </c>
      <c r="F241" s="1687">
        <f t="shared" ref="F241:F244" si="57">H241</f>
        <v>0</v>
      </c>
      <c r="G241" s="1675">
        <f t="shared" si="49"/>
        <v>0</v>
      </c>
      <c r="H241" s="1635">
        <f t="shared" si="51"/>
        <v>0</v>
      </c>
    </row>
    <row r="242" spans="1:8" ht="63.75" hidden="1" customHeight="1">
      <c r="A242" s="1666"/>
      <c r="B242" s="1698"/>
      <c r="C242" s="1787" t="s">
        <v>900</v>
      </c>
      <c r="D242" s="1746" t="s">
        <v>899</v>
      </c>
      <c r="E242" s="1687">
        <v>5655</v>
      </c>
      <c r="F242" s="1687">
        <f t="shared" si="57"/>
        <v>0</v>
      </c>
      <c r="G242" s="1675">
        <f t="shared" si="49"/>
        <v>0</v>
      </c>
      <c r="H242" s="1635">
        <f t="shared" si="51"/>
        <v>0</v>
      </c>
    </row>
    <row r="243" spans="1:8" ht="56.25" hidden="1" customHeight="1">
      <c r="A243" s="1666"/>
      <c r="B243" s="1678"/>
      <c r="C243" s="1719" t="s">
        <v>901</v>
      </c>
      <c r="D243" s="1770" t="s">
        <v>902</v>
      </c>
      <c r="E243" s="1687"/>
      <c r="F243" s="1687">
        <f t="shared" si="57"/>
        <v>0</v>
      </c>
      <c r="G243" s="1675" t="e">
        <f t="shared" si="49"/>
        <v>#DIV/0!</v>
      </c>
      <c r="H243" s="1635">
        <f t="shared" si="51"/>
        <v>0</v>
      </c>
    </row>
    <row r="244" spans="1:8" ht="54.75" hidden="1" customHeight="1" thickBot="1">
      <c r="A244" s="1666"/>
      <c r="B244" s="1678"/>
      <c r="C244" s="1719" t="s">
        <v>903</v>
      </c>
      <c r="D244" s="1770" t="s">
        <v>822</v>
      </c>
      <c r="E244" s="1687">
        <v>18859</v>
      </c>
      <c r="F244" s="1687">
        <f t="shared" si="57"/>
        <v>0</v>
      </c>
      <c r="G244" s="1675">
        <f t="shared" si="49"/>
        <v>0</v>
      </c>
      <c r="H244" s="1635">
        <f t="shared" si="51"/>
        <v>0</v>
      </c>
    </row>
    <row r="245" spans="1:8" ht="17.25" hidden="1" customHeight="1">
      <c r="A245" s="1666"/>
      <c r="B245" s="1788"/>
      <c r="C245" s="1789"/>
      <c r="D245" s="1790" t="s">
        <v>904</v>
      </c>
      <c r="E245" s="1687"/>
      <c r="F245" s="1687">
        <v>0</v>
      </c>
      <c r="G245" s="1675" t="e">
        <f t="shared" si="49"/>
        <v>#DIV/0!</v>
      </c>
      <c r="H245" s="1635">
        <f t="shared" si="51"/>
        <v>0</v>
      </c>
    </row>
    <row r="246" spans="1:8" ht="18.75" hidden="1" customHeight="1">
      <c r="A246" s="1666"/>
      <c r="B246" s="3467"/>
      <c r="C246" s="3500" t="s">
        <v>755</v>
      </c>
      <c r="D246" s="3500"/>
      <c r="E246" s="1687"/>
      <c r="F246" s="1687">
        <v>0</v>
      </c>
      <c r="G246" s="1675" t="e">
        <f t="shared" si="49"/>
        <v>#DIV/0!</v>
      </c>
      <c r="H246" s="1635">
        <f t="shared" si="51"/>
        <v>0</v>
      </c>
    </row>
    <row r="247" spans="1:8" ht="12" hidden="1" customHeight="1">
      <c r="A247" s="1666"/>
      <c r="B247" s="3467"/>
      <c r="C247" s="3466" t="s">
        <v>857</v>
      </c>
      <c r="D247" s="3466"/>
      <c r="E247" s="1687"/>
      <c r="F247" s="1687">
        <v>0</v>
      </c>
      <c r="G247" s="1675" t="e">
        <f t="shared" si="49"/>
        <v>#DIV/0!</v>
      </c>
      <c r="H247" s="1635">
        <f t="shared" si="51"/>
        <v>0</v>
      </c>
    </row>
    <row r="248" spans="1:8" ht="38.25" hidden="1" customHeight="1">
      <c r="A248" s="1666"/>
      <c r="B248" s="3499"/>
      <c r="C248" s="1743" t="s">
        <v>649</v>
      </c>
      <c r="D248" s="1746" t="s">
        <v>905</v>
      </c>
      <c r="E248" s="1687"/>
      <c r="F248" s="1687">
        <v>0</v>
      </c>
      <c r="G248" s="1675" t="e">
        <f t="shared" si="49"/>
        <v>#DIV/0!</v>
      </c>
      <c r="H248" s="1635">
        <f t="shared" si="51"/>
        <v>0</v>
      </c>
    </row>
    <row r="249" spans="1:8" ht="15" hidden="1" customHeight="1">
      <c r="A249" s="1666"/>
      <c r="B249" s="1698"/>
      <c r="C249" s="1757" t="s">
        <v>906</v>
      </c>
      <c r="D249" s="1758" t="s">
        <v>886</v>
      </c>
      <c r="E249" s="1687"/>
      <c r="F249" s="1687">
        <v>0</v>
      </c>
      <c r="G249" s="1675" t="e">
        <f t="shared" si="49"/>
        <v>#DIV/0!</v>
      </c>
      <c r="H249" s="1635">
        <f t="shared" si="51"/>
        <v>0</v>
      </c>
    </row>
    <row r="250" spans="1:8" ht="13.5" hidden="1" thickBot="1">
      <c r="A250" s="1666"/>
      <c r="B250" s="1698"/>
      <c r="C250" s="1791"/>
      <c r="D250" s="1758"/>
      <c r="E250" s="1687"/>
      <c r="F250" s="1687"/>
      <c r="G250" s="1675"/>
      <c r="H250" s="1635">
        <f t="shared" si="51"/>
        <v>0</v>
      </c>
    </row>
    <row r="251" spans="1:8" ht="15.75" hidden="1" thickBot="1">
      <c r="A251" s="1666"/>
      <c r="B251" s="1698"/>
      <c r="C251" s="3490" t="s">
        <v>823</v>
      </c>
      <c r="D251" s="3492"/>
      <c r="E251" s="1687">
        <f>SUM(E252:E254)</f>
        <v>0</v>
      </c>
      <c r="F251" s="1687">
        <f t="shared" ref="F251" si="58">SUM(F252:F254)</f>
        <v>0</v>
      </c>
      <c r="G251" s="1675" t="e">
        <f t="shared" si="49"/>
        <v>#DIV/0!</v>
      </c>
      <c r="H251" s="1635">
        <f t="shared" si="51"/>
        <v>0</v>
      </c>
    </row>
    <row r="252" spans="1:8" ht="16.5" hidden="1" customHeight="1">
      <c r="A252" s="1666"/>
      <c r="B252" s="1698"/>
      <c r="C252" s="1787" t="s">
        <v>897</v>
      </c>
      <c r="D252" s="1746" t="s">
        <v>861</v>
      </c>
      <c r="E252" s="1732"/>
      <c r="F252" s="1732">
        <v>0</v>
      </c>
      <c r="G252" s="1733" t="e">
        <f t="shared" si="49"/>
        <v>#DIV/0!</v>
      </c>
      <c r="H252" s="1635">
        <f t="shared" si="51"/>
        <v>0</v>
      </c>
    </row>
    <row r="253" spans="1:8" ht="64.5" hidden="1" thickBot="1">
      <c r="A253" s="1666"/>
      <c r="B253" s="1698"/>
      <c r="C253" s="1787" t="s">
        <v>898</v>
      </c>
      <c r="D253" s="1746" t="s">
        <v>899</v>
      </c>
      <c r="E253" s="1687"/>
      <c r="F253" s="1687">
        <v>0</v>
      </c>
      <c r="G253" s="1675" t="e">
        <f t="shared" si="49"/>
        <v>#DIV/0!</v>
      </c>
      <c r="H253" s="1635">
        <f t="shared" si="51"/>
        <v>0</v>
      </c>
    </row>
    <row r="254" spans="1:8" ht="18.75" hidden="1" customHeight="1" thickBot="1">
      <c r="A254" s="1666"/>
      <c r="B254" s="1698"/>
      <c r="C254" s="1757" t="s">
        <v>906</v>
      </c>
      <c r="D254" s="1758" t="s">
        <v>886</v>
      </c>
      <c r="E254" s="1688"/>
      <c r="F254" s="1688">
        <v>0</v>
      </c>
      <c r="G254" s="1689" t="e">
        <f t="shared" si="49"/>
        <v>#DIV/0!</v>
      </c>
      <c r="H254" s="1635">
        <f t="shared" si="51"/>
        <v>0</v>
      </c>
    </row>
    <row r="255" spans="1:8" ht="17.100000000000001" hidden="1" customHeight="1" thickBot="1">
      <c r="A255" s="1660" t="s">
        <v>907</v>
      </c>
      <c r="B255" s="1765"/>
      <c r="C255" s="1766"/>
      <c r="D255" s="1767" t="s">
        <v>908</v>
      </c>
      <c r="E255" s="1768">
        <f>E256</f>
        <v>0</v>
      </c>
      <c r="F255" s="1768">
        <f t="shared" ref="E255:F257" si="59">F256</f>
        <v>0</v>
      </c>
      <c r="G255" s="1769" t="e">
        <f t="shared" si="49"/>
        <v>#DIV/0!</v>
      </c>
      <c r="H255" s="1635">
        <f t="shared" si="51"/>
        <v>0</v>
      </c>
    </row>
    <row r="256" spans="1:8" ht="17.100000000000001" hidden="1" customHeight="1" thickBot="1">
      <c r="A256" s="1666"/>
      <c r="B256" s="1734" t="s">
        <v>909</v>
      </c>
      <c r="C256" s="1735"/>
      <c r="D256" s="1736" t="s">
        <v>910</v>
      </c>
      <c r="E256" s="1737">
        <f t="shared" si="59"/>
        <v>0</v>
      </c>
      <c r="F256" s="1737">
        <f t="shared" si="59"/>
        <v>0</v>
      </c>
      <c r="G256" s="1738" t="e">
        <f t="shared" si="49"/>
        <v>#DIV/0!</v>
      </c>
      <c r="H256" s="1635">
        <f t="shared" si="51"/>
        <v>0</v>
      </c>
    </row>
    <row r="257" spans="1:27" ht="17.100000000000001" hidden="1" customHeight="1">
      <c r="A257" s="1666"/>
      <c r="B257" s="3467"/>
      <c r="C257" s="3472" t="s">
        <v>755</v>
      </c>
      <c r="D257" s="3472"/>
      <c r="E257" s="1672">
        <f t="shared" si="59"/>
        <v>0</v>
      </c>
      <c r="F257" s="1672">
        <f t="shared" si="59"/>
        <v>0</v>
      </c>
      <c r="G257" s="1673" t="e">
        <f t="shared" si="49"/>
        <v>#DIV/0!</v>
      </c>
      <c r="H257" s="1635">
        <f t="shared" si="51"/>
        <v>0</v>
      </c>
    </row>
    <row r="258" spans="1:27" ht="17.100000000000001" hidden="1" customHeight="1">
      <c r="A258" s="1666"/>
      <c r="B258" s="3467"/>
      <c r="C258" s="3509" t="s">
        <v>756</v>
      </c>
      <c r="D258" s="3510"/>
      <c r="E258" s="1687">
        <f>E259+E265</f>
        <v>0</v>
      </c>
      <c r="F258" s="1687">
        <f t="shared" ref="F258" si="60">F259+F265</f>
        <v>0</v>
      </c>
      <c r="G258" s="1675" t="e">
        <f t="shared" si="49"/>
        <v>#DIV/0!</v>
      </c>
      <c r="H258" s="1635">
        <f t="shared" si="51"/>
        <v>0</v>
      </c>
    </row>
    <row r="259" spans="1:27" ht="17.100000000000001" hidden="1" customHeight="1">
      <c r="A259" s="1666"/>
      <c r="B259" s="3467"/>
      <c r="C259" s="3502" t="s">
        <v>757</v>
      </c>
      <c r="D259" s="3503"/>
      <c r="E259" s="1713">
        <f>SUM(E260:E263)</f>
        <v>0</v>
      </c>
      <c r="F259" s="1713">
        <f t="shared" ref="F259" si="61">SUM(F260:F263)</f>
        <v>0</v>
      </c>
      <c r="G259" s="1714" t="e">
        <f t="shared" si="49"/>
        <v>#DIV/0!</v>
      </c>
      <c r="H259" s="1635">
        <f t="shared" si="51"/>
        <v>0</v>
      </c>
    </row>
    <row r="260" spans="1:27" ht="17.100000000000001" hidden="1" customHeight="1">
      <c r="A260" s="1666"/>
      <c r="B260" s="3467"/>
      <c r="C260" s="1753" t="s">
        <v>758</v>
      </c>
      <c r="D260" s="1754" t="s">
        <v>759</v>
      </c>
      <c r="E260" s="1687"/>
      <c r="F260" s="1687">
        <f>H260</f>
        <v>0</v>
      </c>
      <c r="G260" s="1675" t="e">
        <f t="shared" si="49"/>
        <v>#DIV/0!</v>
      </c>
      <c r="H260" s="1635">
        <f t="shared" si="51"/>
        <v>0</v>
      </c>
    </row>
    <row r="261" spans="1:27" ht="17.100000000000001" hidden="1" customHeight="1">
      <c r="A261" s="1666"/>
      <c r="B261" s="3467"/>
      <c r="C261" s="1753" t="s">
        <v>760</v>
      </c>
      <c r="D261" s="1746" t="s">
        <v>761</v>
      </c>
      <c r="E261" s="1687"/>
      <c r="F261" s="1687">
        <f t="shared" ref="F261:F263" si="62">H261</f>
        <v>0</v>
      </c>
      <c r="G261" s="1675" t="e">
        <f t="shared" si="49"/>
        <v>#DIV/0!</v>
      </c>
      <c r="H261" s="1635">
        <f t="shared" si="51"/>
        <v>0</v>
      </c>
    </row>
    <row r="262" spans="1:27" ht="17.100000000000001" hidden="1" customHeight="1">
      <c r="A262" s="1666"/>
      <c r="B262" s="3467"/>
      <c r="C262" s="1753" t="s">
        <v>762</v>
      </c>
      <c r="D262" s="1754" t="s">
        <v>763</v>
      </c>
      <c r="E262" s="1687"/>
      <c r="F262" s="1687">
        <f t="shared" si="62"/>
        <v>0</v>
      </c>
      <c r="G262" s="1675" t="e">
        <f t="shared" si="49"/>
        <v>#DIV/0!</v>
      </c>
      <c r="H262" s="1635">
        <f t="shared" si="51"/>
        <v>0</v>
      </c>
    </row>
    <row r="263" spans="1:27" ht="26.25" hidden="1" customHeight="1">
      <c r="A263" s="1666"/>
      <c r="B263" s="3467"/>
      <c r="C263" s="1753" t="s">
        <v>764</v>
      </c>
      <c r="D263" s="1746" t="s">
        <v>765</v>
      </c>
      <c r="E263" s="1687"/>
      <c r="F263" s="1687">
        <f t="shared" si="62"/>
        <v>0</v>
      </c>
      <c r="G263" s="1675" t="e">
        <f t="shared" si="49"/>
        <v>#DIV/0!</v>
      </c>
      <c r="H263" s="1635">
        <f t="shared" si="51"/>
        <v>0</v>
      </c>
    </row>
    <row r="264" spans="1:27" ht="14.25" hidden="1" customHeight="1">
      <c r="A264" s="1666"/>
      <c r="B264" s="1698"/>
      <c r="C264" s="1753"/>
      <c r="D264" s="1754"/>
      <c r="E264" s="1687"/>
      <c r="F264" s="1687"/>
      <c r="G264" s="1675"/>
      <c r="H264" s="1635">
        <f t="shared" si="51"/>
        <v>0</v>
      </c>
    </row>
    <row r="265" spans="1:27" ht="14.25" hidden="1" customHeight="1">
      <c r="A265" s="1666"/>
      <c r="B265" s="1698"/>
      <c r="C265" s="3490" t="s">
        <v>770</v>
      </c>
      <c r="D265" s="3490"/>
      <c r="E265" s="1713">
        <f>SUM(E266:E266)</f>
        <v>0</v>
      </c>
      <c r="F265" s="1713">
        <f t="shared" ref="F265" si="63">SUM(F266:F266)</f>
        <v>0</v>
      </c>
      <c r="G265" s="1714" t="e">
        <f t="shared" si="49"/>
        <v>#DIV/0!</v>
      </c>
      <c r="H265" s="1635">
        <f t="shared" si="51"/>
        <v>0</v>
      </c>
    </row>
    <row r="266" spans="1:27" ht="17.25" hidden="1" customHeight="1" thickBot="1">
      <c r="A266" s="1792"/>
      <c r="B266" s="1793"/>
      <c r="C266" s="1743" t="s">
        <v>783</v>
      </c>
      <c r="D266" s="1746" t="s">
        <v>784</v>
      </c>
      <c r="E266" s="1687"/>
      <c r="F266" s="1687">
        <f>H266</f>
        <v>0</v>
      </c>
      <c r="G266" s="1675" t="e">
        <f t="shared" si="49"/>
        <v>#DIV/0!</v>
      </c>
      <c r="H266" s="1635">
        <f t="shared" si="51"/>
        <v>0</v>
      </c>
    </row>
    <row r="267" spans="1:27" ht="17.100000000000001" customHeight="1" thickBot="1">
      <c r="A267" s="1660" t="s">
        <v>33</v>
      </c>
      <c r="B267" s="1765"/>
      <c r="C267" s="1766"/>
      <c r="D267" s="1767" t="s">
        <v>911</v>
      </c>
      <c r="E267" s="1768">
        <f>SUM(E268,E294,E320,E332,E340,E408,E441,E420,E428,E424,E416)</f>
        <v>717739104</v>
      </c>
      <c r="F267" s="1768">
        <f>SUM(F268,F294,F320,F332,F340,F408,F441,F420,F428,F424,F416)</f>
        <v>765213436</v>
      </c>
      <c r="G267" s="1769">
        <f t="shared" si="49"/>
        <v>1.0661442740620135</v>
      </c>
      <c r="H267" s="1635">
        <f t="shared" si="51"/>
        <v>0</v>
      </c>
    </row>
    <row r="268" spans="1:27" ht="17.100000000000001" customHeight="1" thickBot="1">
      <c r="A268" s="1666"/>
      <c r="B268" s="1734" t="s">
        <v>90</v>
      </c>
      <c r="C268" s="1735"/>
      <c r="D268" s="1736" t="s">
        <v>386</v>
      </c>
      <c r="E268" s="1737">
        <f>E269+E282</f>
        <v>117609314</v>
      </c>
      <c r="F268" s="1737">
        <f>F269+F282</f>
        <v>105743205</v>
      </c>
      <c r="G268" s="1738">
        <f t="shared" si="49"/>
        <v>0.89910570348195384</v>
      </c>
      <c r="H268" s="1635">
        <f t="shared" si="51"/>
        <v>0</v>
      </c>
    </row>
    <row r="269" spans="1:27" ht="17.100000000000001" customHeight="1">
      <c r="A269" s="1666"/>
      <c r="B269" s="3506"/>
      <c r="C269" s="3472" t="s">
        <v>755</v>
      </c>
      <c r="D269" s="3472"/>
      <c r="E269" s="1672">
        <f>E270+E277</f>
        <v>111109314</v>
      </c>
      <c r="F269" s="1672">
        <f>F270+F277</f>
        <v>102593205</v>
      </c>
      <c r="G269" s="1673">
        <f t="shared" si="49"/>
        <v>0.92335377932402674</v>
      </c>
      <c r="H269" s="1635">
        <f t="shared" si="51"/>
        <v>0</v>
      </c>
    </row>
    <row r="270" spans="1:27" ht="17.100000000000001" customHeight="1">
      <c r="A270" s="1666"/>
      <c r="B270" s="3507"/>
      <c r="C270" s="3466" t="s">
        <v>756</v>
      </c>
      <c r="D270" s="3466"/>
      <c r="E270" s="1687">
        <f>E271</f>
        <v>25703288</v>
      </c>
      <c r="F270" s="1687">
        <f t="shared" ref="F270" si="64">F271</f>
        <v>13216073</v>
      </c>
      <c r="G270" s="1675">
        <f t="shared" si="49"/>
        <v>0.51417830279145604</v>
      </c>
      <c r="H270" s="1635">
        <f t="shared" si="51"/>
        <v>0</v>
      </c>
    </row>
    <row r="271" spans="1:27" ht="17.100000000000001" customHeight="1">
      <c r="A271" s="1666"/>
      <c r="B271" s="3507"/>
      <c r="C271" s="3490" t="s">
        <v>770</v>
      </c>
      <c r="D271" s="3490"/>
      <c r="E271" s="1713">
        <f>SUM(E272:E275)</f>
        <v>25703288</v>
      </c>
      <c r="F271" s="1713">
        <f>SUM(F272:F275)</f>
        <v>13216073</v>
      </c>
      <c r="G271" s="1714">
        <f t="shared" si="49"/>
        <v>0.51417830279145604</v>
      </c>
      <c r="H271" s="1635">
        <f t="shared" si="51"/>
        <v>0</v>
      </c>
    </row>
    <row r="272" spans="1:27" ht="17.100000000000001" customHeight="1">
      <c r="A272" s="1666"/>
      <c r="B272" s="3507"/>
      <c r="C272" s="1726" t="s">
        <v>779</v>
      </c>
      <c r="D272" s="1785" t="s">
        <v>780</v>
      </c>
      <c r="E272" s="1687">
        <v>25693288</v>
      </c>
      <c r="F272" s="1687">
        <f>H272</f>
        <v>13206073</v>
      </c>
      <c r="G272" s="1675">
        <f t="shared" si="49"/>
        <v>0.51398921772877026</v>
      </c>
      <c r="H272" s="1635">
        <f t="shared" si="51"/>
        <v>13206073</v>
      </c>
      <c r="AA272" s="1637">
        <v>13206073</v>
      </c>
    </row>
    <row r="273" spans="1:27" ht="17.100000000000001" hidden="1" customHeight="1">
      <c r="A273" s="1666"/>
      <c r="B273" s="3507"/>
      <c r="C273" s="1706" t="s">
        <v>787</v>
      </c>
      <c r="D273" s="1720" t="s">
        <v>788</v>
      </c>
      <c r="E273" s="1749">
        <v>0</v>
      </c>
      <c r="F273" s="1687">
        <f t="shared" ref="F273:F275" si="65">H273</f>
        <v>0</v>
      </c>
      <c r="G273" s="1750" t="e">
        <f t="shared" ref="G273:G345" si="66">F273/E273</f>
        <v>#DIV/0!</v>
      </c>
      <c r="H273" s="1635">
        <f t="shared" si="51"/>
        <v>0</v>
      </c>
    </row>
    <row r="274" spans="1:27" ht="17.100000000000001" hidden="1" customHeight="1">
      <c r="A274" s="1666"/>
      <c r="B274" s="3507"/>
      <c r="C274" s="1787" t="s">
        <v>912</v>
      </c>
      <c r="D274" s="1794" t="s">
        <v>913</v>
      </c>
      <c r="E274" s="1749">
        <v>0</v>
      </c>
      <c r="F274" s="1687">
        <f t="shared" si="65"/>
        <v>0</v>
      </c>
      <c r="G274" s="1675" t="e">
        <f t="shared" si="66"/>
        <v>#DIV/0!</v>
      </c>
      <c r="H274" s="1635">
        <f t="shared" si="51"/>
        <v>0</v>
      </c>
    </row>
    <row r="275" spans="1:27" ht="17.100000000000001" customHeight="1">
      <c r="A275" s="1666"/>
      <c r="B275" s="3507"/>
      <c r="C275" s="1795" t="s">
        <v>874</v>
      </c>
      <c r="D275" s="1796" t="s">
        <v>875</v>
      </c>
      <c r="E275" s="1749">
        <v>10000</v>
      </c>
      <c r="F275" s="1687">
        <f t="shared" si="65"/>
        <v>10000</v>
      </c>
      <c r="G275" s="1675">
        <f t="shared" si="66"/>
        <v>1</v>
      </c>
      <c r="H275" s="1635">
        <f t="shared" si="51"/>
        <v>10000</v>
      </c>
      <c r="AA275" s="1637">
        <v>10000</v>
      </c>
    </row>
    <row r="276" spans="1:27" ht="17.100000000000001" customHeight="1">
      <c r="A276" s="1666"/>
      <c r="B276" s="3507"/>
      <c r="C276" s="1797"/>
      <c r="D276" s="1797"/>
      <c r="E276" s="1798"/>
      <c r="F276" s="1798"/>
      <c r="G276" s="1784"/>
      <c r="H276" s="1635">
        <f t="shared" si="51"/>
        <v>0</v>
      </c>
    </row>
    <row r="277" spans="1:27" ht="17.100000000000001" customHeight="1">
      <c r="A277" s="1666"/>
      <c r="B277" s="3507"/>
      <c r="C277" s="3495" t="s">
        <v>857</v>
      </c>
      <c r="D277" s="3495"/>
      <c r="E277" s="1749">
        <f>E278+E279+E280</f>
        <v>85406026</v>
      </c>
      <c r="F277" s="1749">
        <f t="shared" ref="F277" si="67">F278+F279</f>
        <v>89377132</v>
      </c>
      <c r="G277" s="1750">
        <f t="shared" si="66"/>
        <v>1.0464967893483301</v>
      </c>
      <c r="H277" s="1635">
        <f t="shared" si="51"/>
        <v>0</v>
      </c>
    </row>
    <row r="278" spans="1:27" ht="39.75" hidden="1" customHeight="1">
      <c r="A278" s="1666"/>
      <c r="B278" s="3507"/>
      <c r="C278" s="1799" t="s">
        <v>394</v>
      </c>
      <c r="D278" s="1800" t="s">
        <v>914</v>
      </c>
      <c r="E278" s="1801">
        <v>85000</v>
      </c>
      <c r="F278" s="1801">
        <f>H278</f>
        <v>0</v>
      </c>
      <c r="G278" s="1802">
        <f t="shared" si="66"/>
        <v>0</v>
      </c>
      <c r="H278" s="1635">
        <f t="shared" si="51"/>
        <v>0</v>
      </c>
    </row>
    <row r="279" spans="1:27" ht="40.5" customHeight="1">
      <c r="A279" s="1666"/>
      <c r="B279" s="3507"/>
      <c r="C279" s="1743" t="s">
        <v>915</v>
      </c>
      <c r="D279" s="1746" t="s">
        <v>916</v>
      </c>
      <c r="E279" s="1687">
        <v>85320819</v>
      </c>
      <c r="F279" s="1687">
        <f t="shared" ref="F279:F280" si="68">H279</f>
        <v>89377132</v>
      </c>
      <c r="G279" s="1675">
        <f t="shared" si="66"/>
        <v>1.0475418900983593</v>
      </c>
      <c r="H279" s="1635">
        <f t="shared" si="51"/>
        <v>89377132</v>
      </c>
      <c r="AA279" s="1637">
        <v>89377132</v>
      </c>
    </row>
    <row r="280" spans="1:27" ht="40.5" hidden="1" customHeight="1">
      <c r="A280" s="1666"/>
      <c r="B280" s="3507"/>
      <c r="C280" s="1743" t="s">
        <v>396</v>
      </c>
      <c r="D280" s="1746" t="s">
        <v>917</v>
      </c>
      <c r="E280" s="1687">
        <v>207</v>
      </c>
      <c r="F280" s="1687">
        <f t="shared" si="68"/>
        <v>0</v>
      </c>
      <c r="G280" s="1675">
        <f t="shared" si="66"/>
        <v>0</v>
      </c>
      <c r="H280" s="1635">
        <f t="shared" si="51"/>
        <v>0</v>
      </c>
    </row>
    <row r="281" spans="1:27" ht="17.100000000000001" customHeight="1">
      <c r="A281" s="1666"/>
      <c r="B281" s="3507"/>
      <c r="C281" s="1743"/>
      <c r="D281" s="1746"/>
      <c r="E281" s="1687"/>
      <c r="F281" s="1687"/>
      <c r="G281" s="1675"/>
      <c r="H281" s="1635">
        <f t="shared" ref="H281:H351" si="69">SUM(I281:AE281)</f>
        <v>0</v>
      </c>
    </row>
    <row r="282" spans="1:27" ht="17.100000000000001" customHeight="1">
      <c r="A282" s="1666"/>
      <c r="B282" s="3507"/>
      <c r="C282" s="3501" t="s">
        <v>810</v>
      </c>
      <c r="D282" s="3501"/>
      <c r="E282" s="1803">
        <f>E283</f>
        <v>6500000</v>
      </c>
      <c r="F282" s="1803">
        <f t="shared" ref="F282" si="70">F283</f>
        <v>3150000</v>
      </c>
      <c r="G282" s="1804">
        <f t="shared" si="66"/>
        <v>0.48461538461538461</v>
      </c>
      <c r="H282" s="1635">
        <f t="shared" si="69"/>
        <v>0</v>
      </c>
    </row>
    <row r="283" spans="1:27" ht="17.100000000000001" customHeight="1">
      <c r="A283" s="1666"/>
      <c r="B283" s="3507"/>
      <c r="C283" s="3491" t="s">
        <v>811</v>
      </c>
      <c r="D283" s="3491"/>
      <c r="E283" s="1687">
        <f>SUM(E284:E287)</f>
        <v>6500000</v>
      </c>
      <c r="F283" s="1687">
        <f>SUM(F284:F287)</f>
        <v>3150000</v>
      </c>
      <c r="G283" s="1675">
        <f t="shared" si="66"/>
        <v>0.48461538461538461</v>
      </c>
      <c r="H283" s="1635">
        <f t="shared" si="69"/>
        <v>0</v>
      </c>
    </row>
    <row r="284" spans="1:27" ht="17.100000000000001" hidden="1" customHeight="1">
      <c r="A284" s="1666"/>
      <c r="B284" s="3507"/>
      <c r="C284" s="1743" t="s">
        <v>821</v>
      </c>
      <c r="D284" s="1758" t="s">
        <v>813</v>
      </c>
      <c r="E284" s="1687"/>
      <c r="F284" s="1687">
        <f>H284</f>
        <v>0</v>
      </c>
      <c r="G284" s="1675"/>
      <c r="H284" s="1635">
        <f t="shared" si="69"/>
        <v>0</v>
      </c>
      <c r="AA284" s="1637">
        <v>0</v>
      </c>
    </row>
    <row r="285" spans="1:27" ht="17.100000000000001" customHeight="1">
      <c r="A285" s="1666"/>
      <c r="B285" s="3507"/>
      <c r="C285" s="1743" t="s">
        <v>812</v>
      </c>
      <c r="D285" s="1746" t="s">
        <v>861</v>
      </c>
      <c r="E285" s="1687">
        <v>6500000</v>
      </c>
      <c r="F285" s="1687">
        <f>H285</f>
        <v>3150000</v>
      </c>
      <c r="G285" s="1675">
        <f t="shared" si="66"/>
        <v>0.48461538461538461</v>
      </c>
      <c r="H285" s="1635">
        <f t="shared" si="69"/>
        <v>3150000</v>
      </c>
      <c r="AA285" s="1637">
        <f>3000000+150000</f>
        <v>3150000</v>
      </c>
    </row>
    <row r="286" spans="1:27" ht="17.100000000000001" hidden="1" customHeight="1">
      <c r="A286" s="1666"/>
      <c r="B286" s="3507"/>
      <c r="C286" s="1743" t="s">
        <v>897</v>
      </c>
      <c r="D286" s="1746" t="s">
        <v>861</v>
      </c>
      <c r="E286" s="1687"/>
      <c r="F286" s="1687">
        <f t="shared" ref="F286:F287" si="71">H286</f>
        <v>0</v>
      </c>
      <c r="G286" s="1675" t="e">
        <f t="shared" si="66"/>
        <v>#DIV/0!</v>
      </c>
      <c r="H286" s="1635">
        <f t="shared" si="69"/>
        <v>0</v>
      </c>
    </row>
    <row r="287" spans="1:27" ht="17.100000000000001" hidden="1" customHeight="1">
      <c r="A287" s="1666"/>
      <c r="B287" s="3507"/>
      <c r="C287" s="1743" t="s">
        <v>918</v>
      </c>
      <c r="D287" s="1746" t="s">
        <v>861</v>
      </c>
      <c r="E287" s="1687"/>
      <c r="F287" s="1687">
        <f t="shared" si="71"/>
        <v>0</v>
      </c>
      <c r="G287" s="1675" t="e">
        <f t="shared" si="66"/>
        <v>#DIV/0!</v>
      </c>
      <c r="H287" s="1635">
        <f t="shared" si="69"/>
        <v>0</v>
      </c>
    </row>
    <row r="288" spans="1:27" ht="17.100000000000001" customHeight="1">
      <c r="A288" s="1666"/>
      <c r="B288" s="3507"/>
      <c r="C288" s="1699"/>
      <c r="D288" s="1710"/>
      <c r="E288" s="1711"/>
      <c r="F288" s="1711"/>
      <c r="G288" s="1675"/>
      <c r="H288" s="1635">
        <f t="shared" si="69"/>
        <v>0</v>
      </c>
    </row>
    <row r="289" spans="1:27" ht="15">
      <c r="A289" s="1666"/>
      <c r="B289" s="3507"/>
      <c r="C289" s="3490" t="s">
        <v>823</v>
      </c>
      <c r="D289" s="3492"/>
      <c r="E289" s="1687">
        <f>SUM(E290:E293)</f>
        <v>0</v>
      </c>
      <c r="F289" s="1687">
        <f>SUM(F290:F293)</f>
        <v>150000</v>
      </c>
      <c r="G289" s="1675"/>
      <c r="H289" s="1635">
        <f t="shared" si="69"/>
        <v>0</v>
      </c>
    </row>
    <row r="290" spans="1:27" ht="13.5" thickBot="1">
      <c r="A290" s="1666"/>
      <c r="B290" s="3507"/>
      <c r="C290" s="1743" t="s">
        <v>812</v>
      </c>
      <c r="D290" s="1746" t="s">
        <v>861</v>
      </c>
      <c r="E290" s="1687">
        <v>0</v>
      </c>
      <c r="F290" s="1687">
        <f>H290</f>
        <v>150000</v>
      </c>
      <c r="G290" s="1675"/>
      <c r="H290" s="1635">
        <f t="shared" si="69"/>
        <v>150000</v>
      </c>
      <c r="AA290" s="1637">
        <v>150000</v>
      </c>
    </row>
    <row r="291" spans="1:27" ht="17.100000000000001" hidden="1" customHeight="1">
      <c r="A291" s="1666"/>
      <c r="B291" s="3507"/>
      <c r="C291" s="1743" t="s">
        <v>812</v>
      </c>
      <c r="D291" s="1746" t="s">
        <v>861</v>
      </c>
      <c r="E291" s="1687"/>
      <c r="F291" s="1687">
        <f>H291</f>
        <v>0</v>
      </c>
      <c r="G291" s="1675" t="e">
        <f t="shared" si="66"/>
        <v>#DIV/0!</v>
      </c>
      <c r="H291" s="1635">
        <f t="shared" si="69"/>
        <v>0</v>
      </c>
    </row>
    <row r="292" spans="1:27" ht="17.100000000000001" hidden="1" customHeight="1">
      <c r="A292" s="1666"/>
      <c r="B292" s="3508"/>
      <c r="C292" s="1743" t="s">
        <v>897</v>
      </c>
      <c r="D292" s="1746" t="s">
        <v>861</v>
      </c>
      <c r="E292" s="1687"/>
      <c r="F292" s="1687">
        <f t="shared" ref="F292:F293" si="72">H292</f>
        <v>0</v>
      </c>
      <c r="G292" s="1675" t="e">
        <f t="shared" si="66"/>
        <v>#DIV/0!</v>
      </c>
      <c r="H292" s="1635">
        <f t="shared" si="69"/>
        <v>0</v>
      </c>
    </row>
    <row r="293" spans="1:27" ht="17.100000000000001" hidden="1" customHeight="1" thickBot="1">
      <c r="A293" s="1666"/>
      <c r="B293" s="3508"/>
      <c r="C293" s="1747" t="s">
        <v>918</v>
      </c>
      <c r="D293" s="1748" t="s">
        <v>861</v>
      </c>
      <c r="E293" s="1732"/>
      <c r="F293" s="1687">
        <f t="shared" si="72"/>
        <v>0</v>
      </c>
      <c r="G293" s="1675" t="e">
        <f t="shared" si="66"/>
        <v>#DIV/0!</v>
      </c>
      <c r="H293" s="1635">
        <f t="shared" si="69"/>
        <v>0</v>
      </c>
    </row>
    <row r="294" spans="1:27" ht="17.100000000000001" customHeight="1" thickBot="1">
      <c r="A294" s="1666"/>
      <c r="B294" s="1734" t="s">
        <v>919</v>
      </c>
      <c r="C294" s="1735"/>
      <c r="D294" s="1736" t="s">
        <v>400</v>
      </c>
      <c r="E294" s="1737">
        <f>E295+E300</f>
        <v>55741369</v>
      </c>
      <c r="F294" s="1737">
        <f t="shared" ref="F294" si="73">F295+F300</f>
        <v>76572267</v>
      </c>
      <c r="G294" s="1738">
        <f t="shared" si="66"/>
        <v>1.3737062503793187</v>
      </c>
      <c r="H294" s="1635">
        <f t="shared" si="69"/>
        <v>0</v>
      </c>
    </row>
    <row r="295" spans="1:27" ht="17.100000000000001" hidden="1" customHeight="1">
      <c r="A295" s="1666"/>
      <c r="B295" s="3511"/>
      <c r="C295" s="3472" t="s">
        <v>755</v>
      </c>
      <c r="D295" s="3472"/>
      <c r="E295" s="1805">
        <f>E296</f>
        <v>2235550</v>
      </c>
      <c r="F295" s="1672">
        <f t="shared" ref="F295:F296" si="74">F296</f>
        <v>0</v>
      </c>
      <c r="G295" s="1673">
        <f t="shared" si="66"/>
        <v>0</v>
      </c>
      <c r="H295" s="1635">
        <f t="shared" si="69"/>
        <v>0</v>
      </c>
    </row>
    <row r="296" spans="1:27" ht="17.100000000000001" hidden="1" customHeight="1">
      <c r="A296" s="1666"/>
      <c r="B296" s="3512"/>
      <c r="C296" s="3466" t="s">
        <v>756</v>
      </c>
      <c r="D296" s="3466"/>
      <c r="E296" s="1687">
        <f>E297</f>
        <v>2235550</v>
      </c>
      <c r="F296" s="1687">
        <f t="shared" si="74"/>
        <v>0</v>
      </c>
      <c r="G296" s="1675">
        <f t="shared" si="66"/>
        <v>0</v>
      </c>
      <c r="H296" s="1635">
        <f t="shared" si="69"/>
        <v>0</v>
      </c>
    </row>
    <row r="297" spans="1:27" ht="17.100000000000001" hidden="1" customHeight="1">
      <c r="A297" s="1666"/>
      <c r="B297" s="3512"/>
      <c r="C297" s="3490" t="s">
        <v>770</v>
      </c>
      <c r="D297" s="3490"/>
      <c r="E297" s="1713">
        <f>E298+E299</f>
        <v>2235550</v>
      </c>
      <c r="F297" s="1687">
        <f>F299</f>
        <v>0</v>
      </c>
      <c r="G297" s="1675">
        <f t="shared" si="66"/>
        <v>0</v>
      </c>
      <c r="H297" s="1635">
        <f t="shared" si="69"/>
        <v>0</v>
      </c>
    </row>
    <row r="298" spans="1:27" ht="17.100000000000001" hidden="1" customHeight="1">
      <c r="A298" s="1666"/>
      <c r="B298" s="3512"/>
      <c r="C298" s="1743" t="s">
        <v>783</v>
      </c>
      <c r="D298" s="1746" t="s">
        <v>784</v>
      </c>
      <c r="E298" s="1713">
        <v>2199000</v>
      </c>
      <c r="F298" s="1687">
        <f>H298</f>
        <v>0</v>
      </c>
      <c r="G298" s="1675">
        <f t="shared" si="66"/>
        <v>0</v>
      </c>
      <c r="H298" s="1635">
        <f t="shared" si="69"/>
        <v>0</v>
      </c>
    </row>
    <row r="299" spans="1:27" ht="17.100000000000001" hidden="1" customHeight="1">
      <c r="A299" s="1666"/>
      <c r="B299" s="3512"/>
      <c r="C299" s="1743" t="s">
        <v>787</v>
      </c>
      <c r="D299" s="1746" t="s">
        <v>788</v>
      </c>
      <c r="E299" s="1687">
        <v>36550</v>
      </c>
      <c r="F299" s="1687">
        <f>H299</f>
        <v>0</v>
      </c>
      <c r="G299" s="1675">
        <f t="shared" si="66"/>
        <v>0</v>
      </c>
      <c r="H299" s="1635">
        <f t="shared" si="69"/>
        <v>0</v>
      </c>
    </row>
    <row r="300" spans="1:27" ht="17.100000000000001" customHeight="1">
      <c r="A300" s="1666"/>
      <c r="B300" s="3512"/>
      <c r="C300" s="3497" t="s">
        <v>810</v>
      </c>
      <c r="D300" s="3497"/>
      <c r="E300" s="1672">
        <f>E301</f>
        <v>53505819</v>
      </c>
      <c r="F300" s="1672">
        <f>F301</f>
        <v>76572267</v>
      </c>
      <c r="G300" s="1673">
        <f t="shared" si="66"/>
        <v>1.4311016713901716</v>
      </c>
      <c r="H300" s="1635">
        <f t="shared" si="69"/>
        <v>0</v>
      </c>
    </row>
    <row r="301" spans="1:27" ht="17.100000000000001" customHeight="1">
      <c r="A301" s="1666"/>
      <c r="B301" s="3512"/>
      <c r="C301" s="3491" t="s">
        <v>811</v>
      </c>
      <c r="D301" s="3491"/>
      <c r="E301" s="1687">
        <f>SUM(E302:E309)</f>
        <v>53505819</v>
      </c>
      <c r="F301" s="1687">
        <f>SUM(F302:F309)</f>
        <v>76572267</v>
      </c>
      <c r="G301" s="1675">
        <f t="shared" si="66"/>
        <v>1.4311016713901716</v>
      </c>
      <c r="H301" s="1635">
        <f t="shared" si="69"/>
        <v>0</v>
      </c>
    </row>
    <row r="302" spans="1:27" ht="17.100000000000001" customHeight="1">
      <c r="A302" s="1666"/>
      <c r="B302" s="3512"/>
      <c r="C302" s="1806" t="s">
        <v>821</v>
      </c>
      <c r="D302" s="1758" t="s">
        <v>813</v>
      </c>
      <c r="E302" s="1687">
        <v>2903620</v>
      </c>
      <c r="F302" s="1687">
        <f>H302</f>
        <v>31998997</v>
      </c>
      <c r="G302" s="1675">
        <f t="shared" si="66"/>
        <v>11.020380421680523</v>
      </c>
      <c r="H302" s="1635">
        <f t="shared" si="69"/>
        <v>31998997</v>
      </c>
      <c r="AA302" s="1637">
        <v>31998997</v>
      </c>
    </row>
    <row r="303" spans="1:27" ht="17.100000000000001" customHeight="1">
      <c r="A303" s="1666"/>
      <c r="B303" s="3512"/>
      <c r="C303" s="1806" t="s">
        <v>920</v>
      </c>
      <c r="D303" s="1758" t="s">
        <v>813</v>
      </c>
      <c r="E303" s="1687">
        <v>1418265</v>
      </c>
      <c r="F303" s="1687">
        <f t="shared" ref="F303:F309" si="75">H303</f>
        <v>22286635</v>
      </c>
      <c r="G303" s="1675">
        <f t="shared" si="66"/>
        <v>15.714013248581894</v>
      </c>
      <c r="H303" s="1635">
        <f t="shared" si="69"/>
        <v>22286635</v>
      </c>
      <c r="AA303" s="1637">
        <v>22286635</v>
      </c>
    </row>
    <row r="304" spans="1:27" ht="17.100000000000001" customHeight="1">
      <c r="A304" s="1666"/>
      <c r="B304" s="3512"/>
      <c r="C304" s="1806" t="s">
        <v>921</v>
      </c>
      <c r="D304" s="1758" t="s">
        <v>813</v>
      </c>
      <c r="E304" s="1687">
        <v>1418265</v>
      </c>
      <c r="F304" s="1687">
        <f t="shared" si="75"/>
        <v>22286635</v>
      </c>
      <c r="G304" s="1675">
        <f t="shared" si="66"/>
        <v>15.714013248581894</v>
      </c>
      <c r="H304" s="1635">
        <f t="shared" si="69"/>
        <v>22286635</v>
      </c>
      <c r="AA304" s="1637">
        <v>22286635</v>
      </c>
    </row>
    <row r="305" spans="1:27" ht="17.100000000000001" hidden="1" customHeight="1">
      <c r="A305" s="1666"/>
      <c r="B305" s="3512"/>
      <c r="C305" s="1743" t="s">
        <v>812</v>
      </c>
      <c r="D305" s="1746" t="s">
        <v>861</v>
      </c>
      <c r="E305" s="1687">
        <v>460000</v>
      </c>
      <c r="F305" s="1687">
        <f t="shared" si="75"/>
        <v>0</v>
      </c>
      <c r="G305" s="1675">
        <f t="shared" si="66"/>
        <v>0</v>
      </c>
      <c r="H305" s="1635">
        <f t="shared" si="69"/>
        <v>0</v>
      </c>
    </row>
    <row r="306" spans="1:27" ht="17.100000000000001" hidden="1" customHeight="1">
      <c r="A306" s="1666"/>
      <c r="B306" s="3512"/>
      <c r="C306" s="1743" t="s">
        <v>897</v>
      </c>
      <c r="D306" s="1746" t="s">
        <v>861</v>
      </c>
      <c r="E306" s="1687">
        <v>1000000</v>
      </c>
      <c r="F306" s="1687">
        <f t="shared" si="75"/>
        <v>0</v>
      </c>
      <c r="G306" s="1675">
        <f t="shared" si="66"/>
        <v>0</v>
      </c>
      <c r="H306" s="1635">
        <f t="shared" si="69"/>
        <v>0</v>
      </c>
    </row>
    <row r="307" spans="1:27" ht="17.100000000000001" hidden="1" customHeight="1">
      <c r="A307" s="1666"/>
      <c r="B307" s="3512"/>
      <c r="C307" s="1747" t="s">
        <v>918</v>
      </c>
      <c r="D307" s="1748" t="s">
        <v>861</v>
      </c>
      <c r="E307" s="1732">
        <v>1000000</v>
      </c>
      <c r="F307" s="1687">
        <f t="shared" si="75"/>
        <v>0</v>
      </c>
      <c r="G307" s="1733">
        <f t="shared" si="66"/>
        <v>0</v>
      </c>
      <c r="H307" s="1635">
        <f t="shared" si="69"/>
        <v>0</v>
      </c>
    </row>
    <row r="308" spans="1:27" ht="50.25" hidden="1" customHeight="1">
      <c r="A308" s="1666"/>
      <c r="B308" s="3512"/>
      <c r="C308" s="1787" t="s">
        <v>898</v>
      </c>
      <c r="D308" s="1807" t="s">
        <v>905</v>
      </c>
      <c r="E308" s="1687">
        <v>42190881</v>
      </c>
      <c r="F308" s="1687">
        <f t="shared" si="75"/>
        <v>0</v>
      </c>
      <c r="G308" s="1675">
        <f t="shared" si="66"/>
        <v>0</v>
      </c>
      <c r="H308" s="1635">
        <f t="shared" si="69"/>
        <v>0</v>
      </c>
    </row>
    <row r="309" spans="1:27" ht="57" hidden="1" customHeight="1">
      <c r="A309" s="1666"/>
      <c r="B309" s="3512"/>
      <c r="C309" s="1808" t="s">
        <v>423</v>
      </c>
      <c r="D309" s="1807" t="s">
        <v>902</v>
      </c>
      <c r="E309" s="1687">
        <v>3114788</v>
      </c>
      <c r="F309" s="1687">
        <f t="shared" si="75"/>
        <v>0</v>
      </c>
      <c r="G309" s="1675">
        <f t="shared" si="66"/>
        <v>0</v>
      </c>
      <c r="H309" s="1635">
        <f t="shared" si="69"/>
        <v>0</v>
      </c>
    </row>
    <row r="310" spans="1:27" ht="17.100000000000001" customHeight="1">
      <c r="A310" s="1666"/>
      <c r="B310" s="3512"/>
      <c r="C310" s="1699"/>
      <c r="D310" s="1710"/>
      <c r="E310" s="1711"/>
      <c r="F310" s="1687"/>
      <c r="G310" s="1712"/>
      <c r="H310" s="1635">
        <f t="shared" si="69"/>
        <v>0</v>
      </c>
    </row>
    <row r="311" spans="1:27" ht="15">
      <c r="A311" s="1666"/>
      <c r="B311" s="3512"/>
      <c r="C311" s="3490" t="s">
        <v>823</v>
      </c>
      <c r="D311" s="3492"/>
      <c r="E311" s="1687">
        <f>SUM(E312:E319)</f>
        <v>53505819</v>
      </c>
      <c r="F311" s="1687">
        <f>SUM(F312:F319)</f>
        <v>76572267</v>
      </c>
      <c r="G311" s="1675">
        <f t="shared" si="66"/>
        <v>1.4311016713901716</v>
      </c>
      <c r="H311" s="1635">
        <f t="shared" si="69"/>
        <v>0</v>
      </c>
    </row>
    <row r="312" spans="1:27" ht="17.100000000000001" customHeight="1">
      <c r="A312" s="1666"/>
      <c r="B312" s="3512"/>
      <c r="C312" s="1806" t="s">
        <v>821</v>
      </c>
      <c r="D312" s="1758" t="s">
        <v>813</v>
      </c>
      <c r="E312" s="1687">
        <v>2903620</v>
      </c>
      <c r="F312" s="1687">
        <f>H312</f>
        <v>31998997</v>
      </c>
      <c r="G312" s="1675">
        <f t="shared" si="66"/>
        <v>11.020380421680523</v>
      </c>
      <c r="H312" s="1635">
        <f t="shared" si="69"/>
        <v>31998997</v>
      </c>
      <c r="AA312" s="1637">
        <v>31998997</v>
      </c>
    </row>
    <row r="313" spans="1:27" ht="17.100000000000001" customHeight="1">
      <c r="A313" s="1666"/>
      <c r="B313" s="3512"/>
      <c r="C313" s="1806" t="s">
        <v>920</v>
      </c>
      <c r="D313" s="1758" t="s">
        <v>813</v>
      </c>
      <c r="E313" s="1687">
        <v>1418265</v>
      </c>
      <c r="F313" s="1687">
        <f t="shared" ref="F313:F319" si="76">H313</f>
        <v>22286635</v>
      </c>
      <c r="G313" s="1675">
        <f t="shared" si="66"/>
        <v>15.714013248581894</v>
      </c>
      <c r="H313" s="1635">
        <f t="shared" si="69"/>
        <v>22286635</v>
      </c>
      <c r="AA313" s="1637">
        <v>22286635</v>
      </c>
    </row>
    <row r="314" spans="1:27" ht="17.100000000000001" customHeight="1" thickBot="1">
      <c r="A314" s="1666"/>
      <c r="B314" s="3512"/>
      <c r="C314" s="1806" t="s">
        <v>921</v>
      </c>
      <c r="D314" s="1758" t="s">
        <v>813</v>
      </c>
      <c r="E314" s="1687">
        <v>1418265</v>
      </c>
      <c r="F314" s="1687">
        <f t="shared" si="76"/>
        <v>22286635</v>
      </c>
      <c r="G314" s="1675">
        <f t="shared" si="66"/>
        <v>15.714013248581894</v>
      </c>
      <c r="H314" s="1635">
        <f t="shared" si="69"/>
        <v>22286635</v>
      </c>
      <c r="AA314" s="1637">
        <v>22286635</v>
      </c>
    </row>
    <row r="315" spans="1:27" ht="17.100000000000001" hidden="1" customHeight="1">
      <c r="A315" s="1666"/>
      <c r="B315" s="3512"/>
      <c r="C315" s="1743" t="s">
        <v>812</v>
      </c>
      <c r="D315" s="1746" t="s">
        <v>861</v>
      </c>
      <c r="E315" s="1687">
        <v>460000</v>
      </c>
      <c r="F315" s="1687">
        <f t="shared" si="76"/>
        <v>0</v>
      </c>
      <c r="G315" s="1675">
        <f t="shared" si="66"/>
        <v>0</v>
      </c>
      <c r="H315" s="1635">
        <f t="shared" si="69"/>
        <v>0</v>
      </c>
    </row>
    <row r="316" spans="1:27" ht="16.5" hidden="1" customHeight="1">
      <c r="A316" s="1666"/>
      <c r="B316" s="3512"/>
      <c r="C316" s="1747" t="s">
        <v>897</v>
      </c>
      <c r="D316" s="1748" t="s">
        <v>861</v>
      </c>
      <c r="E316" s="1732">
        <v>1000000</v>
      </c>
      <c r="F316" s="1687">
        <f t="shared" si="76"/>
        <v>0</v>
      </c>
      <c r="G316" s="1675">
        <f t="shared" si="66"/>
        <v>0</v>
      </c>
      <c r="H316" s="1635">
        <f t="shared" si="69"/>
        <v>0</v>
      </c>
    </row>
    <row r="317" spans="1:27" ht="15.75" hidden="1" customHeight="1">
      <c r="A317" s="1666"/>
      <c r="B317" s="3512"/>
      <c r="C317" s="1809" t="s">
        <v>918</v>
      </c>
      <c r="D317" s="1810" t="s">
        <v>861</v>
      </c>
      <c r="E317" s="1687">
        <v>1000000</v>
      </c>
      <c r="F317" s="1687">
        <f t="shared" si="76"/>
        <v>0</v>
      </c>
      <c r="G317" s="1675">
        <f t="shared" si="66"/>
        <v>0</v>
      </c>
      <c r="H317" s="1635">
        <f t="shared" si="69"/>
        <v>0</v>
      </c>
    </row>
    <row r="318" spans="1:27" ht="49.5" hidden="1" customHeight="1">
      <c r="A318" s="1666"/>
      <c r="B318" s="3512"/>
      <c r="C318" s="1811" t="s">
        <v>898</v>
      </c>
      <c r="D318" s="1810" t="s">
        <v>905</v>
      </c>
      <c r="E318" s="1687">
        <v>42190881</v>
      </c>
      <c r="F318" s="1687">
        <f t="shared" si="76"/>
        <v>0</v>
      </c>
      <c r="G318" s="1675">
        <f t="shared" si="66"/>
        <v>0</v>
      </c>
      <c r="H318" s="1635">
        <f t="shared" si="69"/>
        <v>0</v>
      </c>
    </row>
    <row r="319" spans="1:27" ht="60" hidden="1" customHeight="1" thickBot="1">
      <c r="A319" s="1666"/>
      <c r="B319" s="3513"/>
      <c r="C319" s="1812" t="s">
        <v>423</v>
      </c>
      <c r="D319" s="1813" t="s">
        <v>902</v>
      </c>
      <c r="E319" s="1694">
        <v>3114788</v>
      </c>
      <c r="F319" s="1687">
        <f t="shared" si="76"/>
        <v>0</v>
      </c>
      <c r="G319" s="1675">
        <f t="shared" si="66"/>
        <v>0</v>
      </c>
      <c r="H319" s="1635">
        <f t="shared" si="69"/>
        <v>0</v>
      </c>
    </row>
    <row r="320" spans="1:27" ht="17.100000000000001" customHeight="1" thickBot="1">
      <c r="A320" s="1666"/>
      <c r="B320" s="1734" t="s">
        <v>34</v>
      </c>
      <c r="C320" s="1735"/>
      <c r="D320" s="1736" t="s">
        <v>15</v>
      </c>
      <c r="E320" s="1814">
        <f>E321</f>
        <v>52750000</v>
      </c>
      <c r="F320" s="1814">
        <f t="shared" ref="F320" si="77">F321</f>
        <v>51873000</v>
      </c>
      <c r="G320" s="1815">
        <f t="shared" si="66"/>
        <v>0.98337440758293837</v>
      </c>
      <c r="H320" s="1635">
        <f t="shared" si="69"/>
        <v>0</v>
      </c>
    </row>
    <row r="321" spans="1:27" ht="17.100000000000001" customHeight="1">
      <c r="A321" s="1666"/>
      <c r="B321" s="3055"/>
      <c r="C321" s="3517" t="s">
        <v>755</v>
      </c>
      <c r="D321" s="3472"/>
      <c r="E321" s="1805">
        <f>E322+E326</f>
        <v>52750000</v>
      </c>
      <c r="F321" s="1672">
        <f>F322+F326</f>
        <v>51873000</v>
      </c>
      <c r="G321" s="1816">
        <f t="shared" si="66"/>
        <v>0.98337440758293837</v>
      </c>
      <c r="H321" s="1635">
        <f t="shared" si="69"/>
        <v>0</v>
      </c>
    </row>
    <row r="322" spans="1:27" ht="17.100000000000001" hidden="1" customHeight="1">
      <c r="A322" s="1666"/>
      <c r="B322" s="1745"/>
      <c r="C322" s="3466" t="s">
        <v>756</v>
      </c>
      <c r="D322" s="3466"/>
      <c r="E322" s="1672">
        <f>E323</f>
        <v>0</v>
      </c>
      <c r="F322" s="1672">
        <f>F323</f>
        <v>0</v>
      </c>
      <c r="G322" s="1817" t="e">
        <f t="shared" si="66"/>
        <v>#DIV/0!</v>
      </c>
      <c r="H322" s="1635">
        <f t="shared" si="69"/>
        <v>0</v>
      </c>
    </row>
    <row r="323" spans="1:27" ht="17.100000000000001" hidden="1" customHeight="1">
      <c r="A323" s="1666"/>
      <c r="B323" s="1745"/>
      <c r="C323" s="3490" t="s">
        <v>770</v>
      </c>
      <c r="D323" s="3490"/>
      <c r="E323" s="1687">
        <f>E324</f>
        <v>0</v>
      </c>
      <c r="F323" s="1687">
        <f>F324</f>
        <v>0</v>
      </c>
      <c r="G323" s="1817" t="e">
        <f t="shared" si="66"/>
        <v>#DIV/0!</v>
      </c>
      <c r="H323" s="1635">
        <f t="shared" si="69"/>
        <v>0</v>
      </c>
    </row>
    <row r="324" spans="1:27" ht="54.75" hidden="1" customHeight="1">
      <c r="A324" s="1666"/>
      <c r="B324" s="1745"/>
      <c r="C324" s="1818" t="s">
        <v>870</v>
      </c>
      <c r="D324" s="1819" t="s">
        <v>871</v>
      </c>
      <c r="E324" s="1749"/>
      <c r="F324" s="1687">
        <f>H324</f>
        <v>0</v>
      </c>
      <c r="G324" s="1817" t="e">
        <f t="shared" si="66"/>
        <v>#DIV/0!</v>
      </c>
      <c r="H324" s="1635">
        <f t="shared" si="69"/>
        <v>0</v>
      </c>
    </row>
    <row r="325" spans="1:27" ht="17.100000000000001" hidden="1" customHeight="1">
      <c r="A325" s="1666"/>
      <c r="B325" s="1745"/>
      <c r="C325" s="1820"/>
      <c r="D325" s="1821"/>
      <c r="E325" s="1822"/>
      <c r="F325" s="1823"/>
      <c r="G325" s="1817"/>
      <c r="H325" s="1635">
        <f t="shared" si="69"/>
        <v>0</v>
      </c>
    </row>
    <row r="326" spans="1:27" ht="17.100000000000001" customHeight="1">
      <c r="A326" s="1666"/>
      <c r="B326" s="1745"/>
      <c r="C326" s="3518" t="s">
        <v>857</v>
      </c>
      <c r="D326" s="3518"/>
      <c r="E326" s="1824">
        <f>E327+E328+E329+E330+E331</f>
        <v>52750000</v>
      </c>
      <c r="F326" s="1824">
        <f>F327+F328+F329+F330+F331</f>
        <v>51873000</v>
      </c>
      <c r="G326" s="1825">
        <f t="shared" si="66"/>
        <v>0.98337440758293837</v>
      </c>
      <c r="H326" s="1635">
        <f t="shared" si="69"/>
        <v>0</v>
      </c>
    </row>
    <row r="327" spans="1:27" ht="45.75" customHeight="1">
      <c r="A327" s="1666"/>
      <c r="B327" s="1745"/>
      <c r="C327" s="1826" t="s">
        <v>858</v>
      </c>
      <c r="D327" s="1827" t="s">
        <v>859</v>
      </c>
      <c r="E327" s="1828">
        <v>1600000</v>
      </c>
      <c r="F327" s="1687">
        <f>H327</f>
        <v>1600000</v>
      </c>
      <c r="G327" s="1829">
        <f t="shared" si="66"/>
        <v>1</v>
      </c>
      <c r="H327" s="1635">
        <f t="shared" si="69"/>
        <v>1600000</v>
      </c>
      <c r="AA327" s="1637">
        <v>1600000</v>
      </c>
    </row>
    <row r="328" spans="1:27" ht="45.75" customHeight="1" thickBot="1">
      <c r="A328" s="1792"/>
      <c r="B328" s="3058"/>
      <c r="C328" s="3059" t="s">
        <v>670</v>
      </c>
      <c r="D328" s="3060" t="s">
        <v>860</v>
      </c>
      <c r="E328" s="3061">
        <v>4050000</v>
      </c>
      <c r="F328" s="1694">
        <f t="shared" ref="F328:F331" si="78">H328</f>
        <v>4050000</v>
      </c>
      <c r="G328" s="1829">
        <f t="shared" si="66"/>
        <v>1</v>
      </c>
      <c r="H328" s="1635">
        <f t="shared" si="69"/>
        <v>4050000</v>
      </c>
      <c r="AA328" s="1637">
        <v>4050000</v>
      </c>
    </row>
    <row r="329" spans="1:27" ht="25.5">
      <c r="A329" s="1666"/>
      <c r="B329" s="1745"/>
      <c r="C329" s="3056" t="s">
        <v>269</v>
      </c>
      <c r="D329" s="3057" t="s">
        <v>922</v>
      </c>
      <c r="E329" s="3046">
        <v>44750000</v>
      </c>
      <c r="F329" s="3046">
        <f t="shared" si="78"/>
        <v>43873000</v>
      </c>
      <c r="G329" s="1825">
        <f t="shared" si="66"/>
        <v>0.98040223463687148</v>
      </c>
      <c r="H329" s="1635">
        <f t="shared" si="69"/>
        <v>43873000</v>
      </c>
      <c r="AA329" s="1637">
        <v>43873000</v>
      </c>
    </row>
    <row r="330" spans="1:27" ht="26.25" thickBot="1">
      <c r="A330" s="1666"/>
      <c r="B330" s="1698"/>
      <c r="C330" s="1808" t="s">
        <v>923</v>
      </c>
      <c r="D330" s="1807" t="s">
        <v>924</v>
      </c>
      <c r="E330" s="1687">
        <v>2350000</v>
      </c>
      <c r="F330" s="1687">
        <f t="shared" si="78"/>
        <v>2350000</v>
      </c>
      <c r="G330" s="1825">
        <f t="shared" si="66"/>
        <v>1</v>
      </c>
      <c r="H330" s="1635">
        <f t="shared" si="69"/>
        <v>2350000</v>
      </c>
      <c r="AA330" s="1637">
        <v>2350000</v>
      </c>
    </row>
    <row r="331" spans="1:27" ht="57.75" hidden="1" customHeight="1" thickBot="1">
      <c r="A331" s="1666"/>
      <c r="B331" s="1831"/>
      <c r="C331" s="1832" t="s">
        <v>359</v>
      </c>
      <c r="D331" s="1813" t="s">
        <v>379</v>
      </c>
      <c r="E331" s="1694"/>
      <c r="F331" s="1687">
        <f t="shared" si="78"/>
        <v>0</v>
      </c>
      <c r="G331" s="1695" t="e">
        <f t="shared" si="66"/>
        <v>#DIV/0!</v>
      </c>
      <c r="H331" s="1635">
        <f t="shared" si="69"/>
        <v>0</v>
      </c>
    </row>
    <row r="332" spans="1:27" ht="17.100000000000001" customHeight="1" thickBot="1">
      <c r="A332" s="1666"/>
      <c r="B332" s="1734" t="s">
        <v>925</v>
      </c>
      <c r="C332" s="1735"/>
      <c r="D332" s="1736" t="s">
        <v>133</v>
      </c>
      <c r="E332" s="1737">
        <f t="shared" ref="E332:F335" si="79">E333</f>
        <v>240000</v>
      </c>
      <c r="F332" s="1737">
        <f t="shared" si="79"/>
        <v>304040</v>
      </c>
      <c r="G332" s="1738">
        <f t="shared" si="66"/>
        <v>1.2668333333333333</v>
      </c>
      <c r="H332" s="1635">
        <f t="shared" si="69"/>
        <v>0</v>
      </c>
    </row>
    <row r="333" spans="1:27" ht="17.100000000000001" customHeight="1">
      <c r="A333" s="1666"/>
      <c r="B333" s="3467"/>
      <c r="C333" s="3472" t="s">
        <v>755</v>
      </c>
      <c r="D333" s="3472"/>
      <c r="E333" s="1672">
        <f>E334+E337</f>
        <v>240000</v>
      </c>
      <c r="F333" s="1672">
        <f>F334+F337</f>
        <v>304040</v>
      </c>
      <c r="G333" s="1673">
        <f t="shared" si="66"/>
        <v>1.2668333333333333</v>
      </c>
      <c r="H333" s="1635">
        <f t="shared" si="69"/>
        <v>0</v>
      </c>
    </row>
    <row r="334" spans="1:27" ht="17.100000000000001" customHeight="1">
      <c r="A334" s="1666"/>
      <c r="B334" s="3467"/>
      <c r="C334" s="3466" t="s">
        <v>756</v>
      </c>
      <c r="D334" s="3466"/>
      <c r="E334" s="1687">
        <f>E335</f>
        <v>200000</v>
      </c>
      <c r="F334" s="1687">
        <f t="shared" si="79"/>
        <v>254040</v>
      </c>
      <c r="G334" s="1675">
        <f t="shared" si="66"/>
        <v>1.2702</v>
      </c>
      <c r="H334" s="1635">
        <f t="shared" si="69"/>
        <v>0</v>
      </c>
    </row>
    <row r="335" spans="1:27" ht="17.100000000000001" customHeight="1">
      <c r="A335" s="1666"/>
      <c r="B335" s="3467"/>
      <c r="C335" s="3490" t="s">
        <v>770</v>
      </c>
      <c r="D335" s="3490"/>
      <c r="E335" s="1713">
        <f t="shared" si="79"/>
        <v>200000</v>
      </c>
      <c r="F335" s="1713">
        <f t="shared" si="79"/>
        <v>254040</v>
      </c>
      <c r="G335" s="1714">
        <f t="shared" si="66"/>
        <v>1.2702</v>
      </c>
      <c r="H335" s="1635">
        <f t="shared" si="69"/>
        <v>0</v>
      </c>
    </row>
    <row r="336" spans="1:27" ht="17.100000000000001" customHeight="1">
      <c r="A336" s="1666"/>
      <c r="B336" s="3467"/>
      <c r="C336" s="1726" t="s">
        <v>787</v>
      </c>
      <c r="D336" s="1785" t="s">
        <v>788</v>
      </c>
      <c r="E336" s="1713">
        <v>200000</v>
      </c>
      <c r="F336" s="1713">
        <f>H336</f>
        <v>254040</v>
      </c>
      <c r="G336" s="1733">
        <f t="shared" si="66"/>
        <v>1.2702</v>
      </c>
      <c r="H336" s="1635">
        <f t="shared" si="69"/>
        <v>254040</v>
      </c>
      <c r="AA336" s="1637">
        <v>254040</v>
      </c>
    </row>
    <row r="337" spans="1:27" ht="17.100000000000001" customHeight="1">
      <c r="A337" s="1666"/>
      <c r="B337" s="1698"/>
      <c r="C337" s="3514" t="s">
        <v>857</v>
      </c>
      <c r="D337" s="3514"/>
      <c r="E337" s="1833">
        <f>E338</f>
        <v>40000</v>
      </c>
      <c r="F337" s="1833">
        <f>F338</f>
        <v>50000</v>
      </c>
      <c r="G337" s="1733">
        <f t="shared" si="66"/>
        <v>1.25</v>
      </c>
      <c r="H337" s="1635">
        <f t="shared" si="69"/>
        <v>0</v>
      </c>
    </row>
    <row r="338" spans="1:27" ht="27.75" customHeight="1" thickBot="1">
      <c r="A338" s="1666"/>
      <c r="B338" s="1698"/>
      <c r="C338" s="1799" t="s">
        <v>394</v>
      </c>
      <c r="D338" s="1800" t="s">
        <v>914</v>
      </c>
      <c r="E338" s="1801">
        <v>40000</v>
      </c>
      <c r="F338" s="1834">
        <f>H338</f>
        <v>50000</v>
      </c>
      <c r="G338" s="1802">
        <f t="shared" si="66"/>
        <v>1.25</v>
      </c>
      <c r="H338" s="1635">
        <f t="shared" si="69"/>
        <v>50000</v>
      </c>
      <c r="AA338" s="1637">
        <v>50000</v>
      </c>
    </row>
    <row r="339" spans="1:27" ht="17.100000000000001" hidden="1" customHeight="1" thickBot="1">
      <c r="A339" s="1666"/>
      <c r="B339" s="1698"/>
      <c r="C339" s="3490"/>
      <c r="D339" s="3490"/>
      <c r="E339" s="1688"/>
      <c r="F339" s="1834"/>
      <c r="G339" s="1689"/>
    </row>
    <row r="340" spans="1:27" ht="17.100000000000001" customHeight="1" thickBot="1">
      <c r="A340" s="1666"/>
      <c r="B340" s="1734" t="s">
        <v>926</v>
      </c>
      <c r="C340" s="1735"/>
      <c r="D340" s="1736" t="s">
        <v>410</v>
      </c>
      <c r="E340" s="1737">
        <f>E341+E382</f>
        <v>447623115</v>
      </c>
      <c r="F340" s="1737">
        <f>F341+F382</f>
        <v>448636450</v>
      </c>
      <c r="G340" s="1738">
        <f t="shared" si="66"/>
        <v>1.0022638129400445</v>
      </c>
      <c r="H340" s="1635">
        <f t="shared" si="69"/>
        <v>0</v>
      </c>
    </row>
    <row r="341" spans="1:27" ht="17.100000000000001" customHeight="1">
      <c r="A341" s="1666"/>
      <c r="B341" s="1678"/>
      <c r="C341" s="3472" t="s">
        <v>755</v>
      </c>
      <c r="D341" s="3472"/>
      <c r="E341" s="1672">
        <f>E342+E376+E379</f>
        <v>73414806</v>
      </c>
      <c r="F341" s="1672">
        <f>F342+F376+F379</f>
        <v>54887140</v>
      </c>
      <c r="G341" s="1673">
        <f t="shared" si="66"/>
        <v>0.74763038943397875</v>
      </c>
      <c r="H341" s="1635">
        <f t="shared" si="69"/>
        <v>0</v>
      </c>
    </row>
    <row r="342" spans="1:27" ht="17.100000000000001" customHeight="1">
      <c r="A342" s="1666"/>
      <c r="B342" s="1678"/>
      <c r="C342" s="3466" t="s">
        <v>756</v>
      </c>
      <c r="D342" s="3466"/>
      <c r="E342" s="1687">
        <f t="shared" ref="E342:F342" si="80">E343+E351</f>
        <v>73094806</v>
      </c>
      <c r="F342" s="1687">
        <f t="shared" si="80"/>
        <v>54887140</v>
      </c>
      <c r="G342" s="1675">
        <f t="shared" si="66"/>
        <v>0.75090342260433662</v>
      </c>
      <c r="H342" s="1635">
        <f t="shared" si="69"/>
        <v>0</v>
      </c>
    </row>
    <row r="343" spans="1:27" ht="17.100000000000001" hidden="1" customHeight="1">
      <c r="A343" s="1666"/>
      <c r="B343" s="1678"/>
      <c r="C343" s="3515" t="s">
        <v>757</v>
      </c>
      <c r="D343" s="3515"/>
      <c r="E343" s="1713">
        <f>SUM(E344:E349)</f>
        <v>18424073</v>
      </c>
      <c r="F343" s="1713">
        <f t="shared" ref="F343" si="81">SUM(F344:F348)</f>
        <v>0</v>
      </c>
      <c r="G343" s="1714">
        <f t="shared" si="66"/>
        <v>0</v>
      </c>
      <c r="H343" s="1635">
        <f t="shared" si="69"/>
        <v>0</v>
      </c>
    </row>
    <row r="344" spans="1:27" ht="17.100000000000001" hidden="1" customHeight="1">
      <c r="A344" s="1666"/>
      <c r="B344" s="1678"/>
      <c r="C344" s="1743" t="s">
        <v>758</v>
      </c>
      <c r="D344" s="1746" t="s">
        <v>759</v>
      </c>
      <c r="E344" s="1687">
        <v>14313144</v>
      </c>
      <c r="F344" s="1687">
        <f>H344</f>
        <v>0</v>
      </c>
      <c r="G344" s="1675">
        <f t="shared" si="66"/>
        <v>0</v>
      </c>
      <c r="H344" s="1635">
        <f t="shared" si="69"/>
        <v>0</v>
      </c>
    </row>
    <row r="345" spans="1:27" ht="17.100000000000001" hidden="1" customHeight="1">
      <c r="A345" s="1666"/>
      <c r="B345" s="1678"/>
      <c r="C345" s="1743" t="s">
        <v>760</v>
      </c>
      <c r="D345" s="1746" t="s">
        <v>761</v>
      </c>
      <c r="E345" s="1687">
        <v>1076328</v>
      </c>
      <c r="F345" s="1687">
        <f t="shared" ref="F345:F349" si="82">H345</f>
        <v>0</v>
      </c>
      <c r="G345" s="1675">
        <f t="shared" si="66"/>
        <v>0</v>
      </c>
      <c r="H345" s="1635">
        <f t="shared" si="69"/>
        <v>0</v>
      </c>
    </row>
    <row r="346" spans="1:27" ht="17.100000000000001" hidden="1" customHeight="1">
      <c r="A346" s="1666"/>
      <c r="B346" s="1678"/>
      <c r="C346" s="1743" t="s">
        <v>762</v>
      </c>
      <c r="D346" s="1746" t="s">
        <v>763</v>
      </c>
      <c r="E346" s="1687">
        <v>2635713</v>
      </c>
      <c r="F346" s="1687">
        <f t="shared" si="82"/>
        <v>0</v>
      </c>
      <c r="G346" s="1675">
        <f t="shared" ref="G346:G415" si="83">F346/E346</f>
        <v>0</v>
      </c>
      <c r="H346" s="1635">
        <f t="shared" si="69"/>
        <v>0</v>
      </c>
    </row>
    <row r="347" spans="1:27" ht="27.75" hidden="1" customHeight="1">
      <c r="A347" s="1666"/>
      <c r="B347" s="1678"/>
      <c r="C347" s="1743" t="s">
        <v>764</v>
      </c>
      <c r="D347" s="1746" t="s">
        <v>765</v>
      </c>
      <c r="E347" s="1687">
        <v>367322</v>
      </c>
      <c r="F347" s="1687">
        <f t="shared" si="82"/>
        <v>0</v>
      </c>
      <c r="G347" s="1675">
        <f t="shared" si="83"/>
        <v>0</v>
      </c>
      <c r="H347" s="1635">
        <f t="shared" si="69"/>
        <v>0</v>
      </c>
    </row>
    <row r="348" spans="1:27" ht="17.100000000000001" hidden="1" customHeight="1">
      <c r="A348" s="1666"/>
      <c r="B348" s="1678"/>
      <c r="C348" s="1743" t="s">
        <v>766</v>
      </c>
      <c r="D348" s="1746" t="s">
        <v>767</v>
      </c>
      <c r="E348" s="1687">
        <v>9566</v>
      </c>
      <c r="F348" s="1687">
        <f t="shared" si="82"/>
        <v>0</v>
      </c>
      <c r="G348" s="1675">
        <f t="shared" si="83"/>
        <v>0</v>
      </c>
      <c r="H348" s="1635">
        <f t="shared" si="69"/>
        <v>0</v>
      </c>
    </row>
    <row r="349" spans="1:27" ht="17.100000000000001" hidden="1" customHeight="1">
      <c r="A349" s="1666"/>
      <c r="B349" s="1678"/>
      <c r="C349" s="1743" t="s">
        <v>768</v>
      </c>
      <c r="D349" s="1746" t="s">
        <v>769</v>
      </c>
      <c r="E349" s="1749">
        <v>22000</v>
      </c>
      <c r="F349" s="1687">
        <f t="shared" si="82"/>
        <v>0</v>
      </c>
      <c r="G349" s="1750">
        <f t="shared" si="83"/>
        <v>0</v>
      </c>
      <c r="H349" s="1635">
        <f t="shared" si="69"/>
        <v>0</v>
      </c>
    </row>
    <row r="350" spans="1:27" ht="17.100000000000001" customHeight="1">
      <c r="A350" s="1666"/>
      <c r="B350" s="1678"/>
      <c r="C350" s="3464"/>
      <c r="D350" s="3516"/>
      <c r="E350" s="1798"/>
      <c r="F350" s="1798"/>
      <c r="G350" s="1784"/>
      <c r="H350" s="1635">
        <f t="shared" si="69"/>
        <v>0</v>
      </c>
    </row>
    <row r="351" spans="1:27" ht="17.100000000000001" customHeight="1">
      <c r="A351" s="1666"/>
      <c r="B351" s="1678"/>
      <c r="C351" s="3514" t="s">
        <v>770</v>
      </c>
      <c r="D351" s="3514"/>
      <c r="E351" s="1833">
        <f>SUM(E352:E374)</f>
        <v>54670733</v>
      </c>
      <c r="F351" s="1833">
        <f>SUM(F352:F374)</f>
        <v>54887140</v>
      </c>
      <c r="G351" s="1835">
        <f t="shared" si="83"/>
        <v>1.0039583701941586</v>
      </c>
      <c r="H351" s="1635">
        <f t="shared" si="69"/>
        <v>0</v>
      </c>
    </row>
    <row r="352" spans="1:27" ht="17.100000000000001" hidden="1" customHeight="1">
      <c r="A352" s="1666"/>
      <c r="B352" s="1678"/>
      <c r="C352" s="1743" t="s">
        <v>771</v>
      </c>
      <c r="D352" s="1746" t="s">
        <v>772</v>
      </c>
      <c r="E352" s="1687">
        <v>160000</v>
      </c>
      <c r="F352" s="1687">
        <f>H352</f>
        <v>0</v>
      </c>
      <c r="G352" s="1675">
        <f t="shared" si="83"/>
        <v>0</v>
      </c>
      <c r="H352" s="1635">
        <f t="shared" ref="H352:H416" si="84">SUM(I352:AE352)</f>
        <v>0</v>
      </c>
      <c r="AA352" s="1637">
        <v>0</v>
      </c>
    </row>
    <row r="353" spans="1:27" ht="17.100000000000001" customHeight="1">
      <c r="A353" s="1666"/>
      <c r="B353" s="1678"/>
      <c r="C353" s="1743" t="s">
        <v>773</v>
      </c>
      <c r="D353" s="1746" t="s">
        <v>774</v>
      </c>
      <c r="E353" s="1687">
        <v>7595000</v>
      </c>
      <c r="F353" s="1687">
        <f t="shared" ref="F353:F374" si="85">H353</f>
        <v>7460000</v>
      </c>
      <c r="G353" s="1675">
        <f t="shared" si="83"/>
        <v>0.9822251481237656</v>
      </c>
      <c r="H353" s="1635">
        <f t="shared" si="84"/>
        <v>7460000</v>
      </c>
      <c r="AA353" s="1637">
        <v>7460000</v>
      </c>
    </row>
    <row r="354" spans="1:27" ht="17.100000000000001" hidden="1" customHeight="1">
      <c r="A354" s="1666"/>
      <c r="B354" s="1678"/>
      <c r="C354" s="1743" t="s">
        <v>775</v>
      </c>
      <c r="D354" s="1746" t="s">
        <v>776</v>
      </c>
      <c r="E354" s="1687">
        <v>27000</v>
      </c>
      <c r="F354" s="1687">
        <f t="shared" si="85"/>
        <v>0</v>
      </c>
      <c r="G354" s="1675">
        <f t="shared" si="83"/>
        <v>0</v>
      </c>
      <c r="H354" s="1635">
        <f t="shared" si="84"/>
        <v>0</v>
      </c>
      <c r="AA354" s="1637">
        <v>0</v>
      </c>
    </row>
    <row r="355" spans="1:27" ht="17.100000000000001" customHeight="1">
      <c r="A355" s="1666"/>
      <c r="B355" s="1678"/>
      <c r="C355" s="1743" t="s">
        <v>777</v>
      </c>
      <c r="D355" s="1746" t="s">
        <v>778</v>
      </c>
      <c r="E355" s="1687">
        <v>645000</v>
      </c>
      <c r="F355" s="1687">
        <f t="shared" si="85"/>
        <v>220000</v>
      </c>
      <c r="G355" s="1675">
        <f t="shared" si="83"/>
        <v>0.34108527131782945</v>
      </c>
      <c r="H355" s="1635">
        <f t="shared" si="84"/>
        <v>220000</v>
      </c>
      <c r="AA355" s="1637">
        <v>220000</v>
      </c>
    </row>
    <row r="356" spans="1:27" ht="17.100000000000001" customHeight="1">
      <c r="A356" s="1666"/>
      <c r="B356" s="1678"/>
      <c r="C356" s="1743" t="s">
        <v>779</v>
      </c>
      <c r="D356" s="1746" t="s">
        <v>780</v>
      </c>
      <c r="E356" s="1687">
        <v>21806500</v>
      </c>
      <c r="F356" s="1687">
        <f t="shared" si="85"/>
        <v>27515900</v>
      </c>
      <c r="G356" s="1675">
        <f t="shared" si="83"/>
        <v>1.2618210166693418</v>
      </c>
      <c r="H356" s="1635">
        <f t="shared" si="84"/>
        <v>27515900</v>
      </c>
      <c r="AA356" s="1637">
        <v>27515900</v>
      </c>
    </row>
    <row r="357" spans="1:27" ht="17.100000000000001" hidden="1" customHeight="1">
      <c r="A357" s="1666"/>
      <c r="B357" s="1678"/>
      <c r="C357" s="1743" t="s">
        <v>781</v>
      </c>
      <c r="D357" s="1746" t="s">
        <v>782</v>
      </c>
      <c r="E357" s="1687">
        <v>48000</v>
      </c>
      <c r="F357" s="1687">
        <f t="shared" si="85"/>
        <v>0</v>
      </c>
      <c r="G357" s="1675">
        <f t="shared" si="83"/>
        <v>0</v>
      </c>
      <c r="H357" s="1635">
        <f t="shared" si="84"/>
        <v>0</v>
      </c>
      <c r="AA357" s="1637">
        <v>0</v>
      </c>
    </row>
    <row r="358" spans="1:27" ht="17.100000000000001" customHeight="1">
      <c r="A358" s="1666"/>
      <c r="B358" s="1678"/>
      <c r="C358" s="1743" t="s">
        <v>783</v>
      </c>
      <c r="D358" s="1746" t="s">
        <v>784</v>
      </c>
      <c r="E358" s="1687">
        <v>20502800</v>
      </c>
      <c r="F358" s="1687">
        <f t="shared" si="85"/>
        <v>17015000</v>
      </c>
      <c r="G358" s="1675">
        <f t="shared" si="83"/>
        <v>0.82988664962834346</v>
      </c>
      <c r="H358" s="1635">
        <f t="shared" si="84"/>
        <v>17015000</v>
      </c>
      <c r="AA358" s="1637">
        <v>17015000</v>
      </c>
    </row>
    <row r="359" spans="1:27" ht="16.5" hidden="1" customHeight="1">
      <c r="A359" s="1666"/>
      <c r="B359" s="1678"/>
      <c r="C359" s="1743" t="s">
        <v>785</v>
      </c>
      <c r="D359" s="1746" t="s">
        <v>786</v>
      </c>
      <c r="E359" s="1687">
        <v>66000</v>
      </c>
      <c r="F359" s="1687">
        <f t="shared" si="85"/>
        <v>0</v>
      </c>
      <c r="G359" s="1675">
        <f t="shared" si="83"/>
        <v>0</v>
      </c>
      <c r="H359" s="1635">
        <f t="shared" si="84"/>
        <v>0</v>
      </c>
      <c r="AA359" s="1637">
        <v>0</v>
      </c>
    </row>
    <row r="360" spans="1:27" ht="17.100000000000001" customHeight="1">
      <c r="A360" s="1666"/>
      <c r="B360" s="1678"/>
      <c r="C360" s="1743" t="s">
        <v>787</v>
      </c>
      <c r="D360" s="1746" t="s">
        <v>788</v>
      </c>
      <c r="E360" s="1687">
        <v>1625000</v>
      </c>
      <c r="F360" s="1687">
        <f t="shared" si="85"/>
        <v>1455000</v>
      </c>
      <c r="G360" s="1675">
        <f t="shared" si="83"/>
        <v>0.89538461538461533</v>
      </c>
      <c r="H360" s="1635">
        <f t="shared" si="84"/>
        <v>1455000</v>
      </c>
      <c r="AA360" s="1637">
        <v>1455000</v>
      </c>
    </row>
    <row r="361" spans="1:27" ht="29.25" customHeight="1">
      <c r="A361" s="1666"/>
      <c r="B361" s="1678"/>
      <c r="C361" s="1743" t="s">
        <v>789</v>
      </c>
      <c r="D361" s="1746" t="s">
        <v>790</v>
      </c>
      <c r="E361" s="1687">
        <v>16000</v>
      </c>
      <c r="F361" s="1687">
        <f t="shared" si="85"/>
        <v>23000</v>
      </c>
      <c r="G361" s="1675">
        <f t="shared" si="83"/>
        <v>1.4375</v>
      </c>
      <c r="H361" s="1635">
        <f t="shared" si="84"/>
        <v>23000</v>
      </c>
      <c r="AA361" s="1637">
        <v>23000</v>
      </c>
    </row>
    <row r="362" spans="1:27" ht="17.100000000000001" hidden="1" customHeight="1">
      <c r="A362" s="1666"/>
      <c r="B362" s="1678"/>
      <c r="C362" s="1743" t="s">
        <v>791</v>
      </c>
      <c r="D362" s="1746" t="s">
        <v>792</v>
      </c>
      <c r="E362" s="1687">
        <v>15000</v>
      </c>
      <c r="F362" s="1687">
        <f t="shared" si="85"/>
        <v>0</v>
      </c>
      <c r="G362" s="1675">
        <f t="shared" si="83"/>
        <v>0</v>
      </c>
      <c r="H362" s="1635">
        <f t="shared" si="84"/>
        <v>0</v>
      </c>
      <c r="AA362" s="1637">
        <v>0</v>
      </c>
    </row>
    <row r="363" spans="1:27" ht="17.100000000000001" hidden="1" customHeight="1">
      <c r="A363" s="1666"/>
      <c r="B363" s="1678"/>
      <c r="C363" s="1743" t="s">
        <v>927</v>
      </c>
      <c r="D363" s="1746" t="s">
        <v>928</v>
      </c>
      <c r="E363" s="1687">
        <v>5000</v>
      </c>
      <c r="F363" s="1687">
        <f t="shared" si="85"/>
        <v>0</v>
      </c>
      <c r="G363" s="1675">
        <f t="shared" si="83"/>
        <v>0</v>
      </c>
      <c r="H363" s="1635">
        <f t="shared" si="84"/>
        <v>0</v>
      </c>
      <c r="AA363" s="1637">
        <v>0</v>
      </c>
    </row>
    <row r="364" spans="1:27" ht="17.100000000000001" customHeight="1">
      <c r="A364" s="1666"/>
      <c r="B364" s="1678"/>
      <c r="C364" s="1743" t="s">
        <v>793</v>
      </c>
      <c r="D364" s="1746" t="s">
        <v>794</v>
      </c>
      <c r="E364" s="1687">
        <v>1115000</v>
      </c>
      <c r="F364" s="1687">
        <f t="shared" si="85"/>
        <v>1094000</v>
      </c>
      <c r="G364" s="1675">
        <f t="shared" si="83"/>
        <v>0.98116591928251118</v>
      </c>
      <c r="H364" s="1635">
        <f t="shared" si="84"/>
        <v>1094000</v>
      </c>
      <c r="AA364" s="1637">
        <f>1165000-71000</f>
        <v>1094000</v>
      </c>
    </row>
    <row r="365" spans="1:27" ht="17.100000000000001" hidden="1" customHeight="1">
      <c r="A365" s="1666"/>
      <c r="B365" s="1678"/>
      <c r="C365" s="1743" t="s">
        <v>795</v>
      </c>
      <c r="D365" s="1746" t="s">
        <v>796</v>
      </c>
      <c r="E365" s="1687">
        <v>392733</v>
      </c>
      <c r="F365" s="1687">
        <f t="shared" si="85"/>
        <v>0</v>
      </c>
      <c r="G365" s="1675">
        <f t="shared" si="83"/>
        <v>0</v>
      </c>
      <c r="H365" s="1635">
        <f t="shared" si="84"/>
        <v>0</v>
      </c>
      <c r="AA365" s="1637">
        <v>0</v>
      </c>
    </row>
    <row r="366" spans="1:27" ht="17.100000000000001" customHeight="1">
      <c r="A366" s="1666"/>
      <c r="B366" s="1678"/>
      <c r="C366" s="1743" t="s">
        <v>797</v>
      </c>
      <c r="D366" s="1746" t="s">
        <v>798</v>
      </c>
      <c r="E366" s="1687">
        <v>139000</v>
      </c>
      <c r="F366" s="1687">
        <f t="shared" si="85"/>
        <v>2000</v>
      </c>
      <c r="G366" s="1675">
        <f t="shared" si="83"/>
        <v>1.4388489208633094E-2</v>
      </c>
      <c r="H366" s="1635">
        <f t="shared" si="84"/>
        <v>2000</v>
      </c>
      <c r="AA366" s="1637">
        <v>2000</v>
      </c>
    </row>
    <row r="367" spans="1:27" ht="27.75" customHeight="1">
      <c r="A367" s="1666"/>
      <c r="B367" s="1678"/>
      <c r="C367" s="1743" t="s">
        <v>819</v>
      </c>
      <c r="D367" s="1746" t="s">
        <v>820</v>
      </c>
      <c r="E367" s="1687">
        <v>9000</v>
      </c>
      <c r="F367" s="1687">
        <f t="shared" si="85"/>
        <v>2000</v>
      </c>
      <c r="G367" s="1675">
        <f t="shared" si="83"/>
        <v>0.22222222222222221</v>
      </c>
      <c r="H367" s="1635">
        <f t="shared" si="84"/>
        <v>2000</v>
      </c>
      <c r="AA367" s="1637">
        <v>2000</v>
      </c>
    </row>
    <row r="368" spans="1:27" ht="17.100000000000001" hidden="1" customHeight="1">
      <c r="A368" s="1666"/>
      <c r="B368" s="1678"/>
      <c r="C368" s="1743" t="s">
        <v>799</v>
      </c>
      <c r="D368" s="1746" t="s">
        <v>800</v>
      </c>
      <c r="E368" s="1687">
        <v>1000</v>
      </c>
      <c r="F368" s="1687">
        <f t="shared" si="85"/>
        <v>0</v>
      </c>
      <c r="G368" s="1675">
        <f t="shared" si="83"/>
        <v>0</v>
      </c>
      <c r="H368" s="1635">
        <f t="shared" si="84"/>
        <v>0</v>
      </c>
      <c r="AA368" s="1637">
        <v>0</v>
      </c>
    </row>
    <row r="369" spans="1:27" ht="17.100000000000001" customHeight="1">
      <c r="A369" s="1666"/>
      <c r="B369" s="1678"/>
      <c r="C369" s="1743" t="s">
        <v>801</v>
      </c>
      <c r="D369" s="1746" t="s">
        <v>802</v>
      </c>
      <c r="E369" s="1687">
        <v>199500</v>
      </c>
      <c r="F369" s="1687">
        <f t="shared" si="85"/>
        <v>70000</v>
      </c>
      <c r="G369" s="1675">
        <f t="shared" si="83"/>
        <v>0.35087719298245612</v>
      </c>
      <c r="H369" s="1635">
        <f t="shared" si="84"/>
        <v>70000</v>
      </c>
      <c r="AA369" s="1637">
        <v>70000</v>
      </c>
    </row>
    <row r="370" spans="1:27" ht="17.100000000000001" hidden="1" customHeight="1">
      <c r="A370" s="1666"/>
      <c r="B370" s="1678"/>
      <c r="C370" s="1743" t="s">
        <v>912</v>
      </c>
      <c r="D370" s="1746" t="s">
        <v>913</v>
      </c>
      <c r="E370" s="1687"/>
      <c r="F370" s="1687">
        <f t="shared" si="85"/>
        <v>0</v>
      </c>
      <c r="G370" s="1675" t="e">
        <f t="shared" si="83"/>
        <v>#DIV/0!</v>
      </c>
      <c r="H370" s="1635">
        <f t="shared" si="84"/>
        <v>0</v>
      </c>
    </row>
    <row r="371" spans="1:27" ht="17.100000000000001" customHeight="1">
      <c r="A371" s="1666"/>
      <c r="B371" s="1678"/>
      <c r="C371" s="1743" t="s">
        <v>872</v>
      </c>
      <c r="D371" s="1746" t="s">
        <v>873</v>
      </c>
      <c r="E371" s="1687">
        <v>55000</v>
      </c>
      <c r="F371" s="1687">
        <f t="shared" si="85"/>
        <v>10000</v>
      </c>
      <c r="G371" s="1675">
        <f t="shared" si="83"/>
        <v>0.18181818181818182</v>
      </c>
      <c r="H371" s="1635">
        <f t="shared" si="84"/>
        <v>10000</v>
      </c>
      <c r="AA371" s="1637">
        <v>10000</v>
      </c>
    </row>
    <row r="372" spans="1:27" ht="24.75" hidden="1" customHeight="1">
      <c r="A372" s="1666"/>
      <c r="B372" s="1678"/>
      <c r="C372" s="1743" t="s">
        <v>929</v>
      </c>
      <c r="D372" s="1746" t="s">
        <v>930</v>
      </c>
      <c r="E372" s="1687"/>
      <c r="F372" s="1687">
        <f t="shared" si="85"/>
        <v>0</v>
      </c>
      <c r="G372" s="1675" t="e">
        <f>F372/E372</f>
        <v>#DIV/0!</v>
      </c>
      <c r="H372" s="1635">
        <f t="shared" si="84"/>
        <v>0</v>
      </c>
    </row>
    <row r="373" spans="1:27" ht="17.100000000000001" customHeight="1">
      <c r="A373" s="1666"/>
      <c r="B373" s="1678"/>
      <c r="C373" s="1743" t="s">
        <v>874</v>
      </c>
      <c r="D373" s="1746" t="s">
        <v>875</v>
      </c>
      <c r="E373" s="1687">
        <v>168200</v>
      </c>
      <c r="F373" s="1687">
        <f t="shared" si="85"/>
        <v>20240</v>
      </c>
      <c r="G373" s="1675">
        <f t="shared" si="83"/>
        <v>0.12033293697978596</v>
      </c>
      <c r="H373" s="1635">
        <f t="shared" si="84"/>
        <v>20240</v>
      </c>
      <c r="AA373" s="1637">
        <v>20240</v>
      </c>
    </row>
    <row r="374" spans="1:27" ht="19.5" hidden="1" customHeight="1">
      <c r="A374" s="1666"/>
      <c r="B374" s="1678"/>
      <c r="C374" s="1743" t="s">
        <v>805</v>
      </c>
      <c r="D374" s="1746" t="s">
        <v>806</v>
      </c>
      <c r="E374" s="1687">
        <v>80000</v>
      </c>
      <c r="F374" s="1687">
        <f t="shared" si="85"/>
        <v>0</v>
      </c>
      <c r="G374" s="1675">
        <f t="shared" si="83"/>
        <v>0</v>
      </c>
      <c r="H374" s="1635">
        <f t="shared" si="84"/>
        <v>0</v>
      </c>
    </row>
    <row r="375" spans="1:27" ht="17.100000000000001" hidden="1" customHeight="1">
      <c r="A375" s="1666"/>
      <c r="B375" s="1678"/>
      <c r="C375" s="1699"/>
      <c r="D375" s="1699"/>
      <c r="E375" s="1683"/>
      <c r="F375" s="1683"/>
      <c r="G375" s="1684"/>
      <c r="H375" s="1635">
        <f t="shared" si="84"/>
        <v>0</v>
      </c>
    </row>
    <row r="376" spans="1:27" ht="17.100000000000001" hidden="1" customHeight="1">
      <c r="A376" s="1666"/>
      <c r="B376" s="1678"/>
      <c r="C376" s="3491" t="s">
        <v>807</v>
      </c>
      <c r="D376" s="3491"/>
      <c r="E376" s="1687">
        <f t="shared" ref="E376:F376" si="86">E377</f>
        <v>320000</v>
      </c>
      <c r="F376" s="1687">
        <f t="shared" si="86"/>
        <v>0</v>
      </c>
      <c r="G376" s="1675">
        <f t="shared" si="83"/>
        <v>0</v>
      </c>
      <c r="H376" s="1635">
        <f t="shared" si="84"/>
        <v>0</v>
      </c>
    </row>
    <row r="377" spans="1:27" ht="17.100000000000001" hidden="1" customHeight="1">
      <c r="A377" s="1666"/>
      <c r="B377" s="1678"/>
      <c r="C377" s="1747" t="s">
        <v>808</v>
      </c>
      <c r="D377" s="1748" t="s">
        <v>809</v>
      </c>
      <c r="E377" s="1732">
        <v>320000</v>
      </c>
      <c r="F377" s="1732">
        <f>H377</f>
        <v>0</v>
      </c>
      <c r="G377" s="1733">
        <f t="shared" si="83"/>
        <v>0</v>
      </c>
      <c r="H377" s="1635">
        <f t="shared" si="84"/>
        <v>0</v>
      </c>
    </row>
    <row r="378" spans="1:27" ht="17.100000000000001" customHeight="1">
      <c r="A378" s="1666"/>
      <c r="B378" s="1678"/>
      <c r="C378" s="1836"/>
      <c r="D378" s="1837"/>
      <c r="E378" s="1716"/>
      <c r="F378" s="1716"/>
      <c r="G378" s="1675"/>
      <c r="H378" s="1635">
        <f t="shared" si="84"/>
        <v>0</v>
      </c>
    </row>
    <row r="379" spans="1:27" ht="17.100000000000001" hidden="1" customHeight="1">
      <c r="A379" s="1666"/>
      <c r="B379" s="1678"/>
      <c r="C379" s="3521" t="s">
        <v>825</v>
      </c>
      <c r="D379" s="3522"/>
      <c r="E379" s="1838">
        <f>E380</f>
        <v>0</v>
      </c>
      <c r="F379" s="1838">
        <f>F380</f>
        <v>0</v>
      </c>
      <c r="G379" s="1839" t="e">
        <f t="shared" si="83"/>
        <v>#DIV/0!</v>
      </c>
      <c r="H379" s="1635">
        <f t="shared" si="84"/>
        <v>0</v>
      </c>
    </row>
    <row r="380" spans="1:27" ht="57.75" hidden="1" customHeight="1">
      <c r="A380" s="1666"/>
      <c r="B380" s="1678"/>
      <c r="C380" s="1840" t="s">
        <v>881</v>
      </c>
      <c r="D380" s="1841" t="s">
        <v>882</v>
      </c>
      <c r="E380" s="1842"/>
      <c r="F380" s="1838">
        <f>H380</f>
        <v>0</v>
      </c>
      <c r="G380" s="1839" t="e">
        <f t="shared" si="83"/>
        <v>#DIV/0!</v>
      </c>
      <c r="H380" s="1635">
        <f t="shared" si="84"/>
        <v>0</v>
      </c>
    </row>
    <row r="381" spans="1:27" ht="17.100000000000001" hidden="1" customHeight="1">
      <c r="A381" s="1666"/>
      <c r="B381" s="1678"/>
      <c r="C381" s="1836"/>
      <c r="D381" s="1843"/>
      <c r="E381" s="1798"/>
      <c r="F381" s="1798"/>
      <c r="G381" s="1844"/>
      <c r="H381" s="1635">
        <f t="shared" si="84"/>
        <v>0</v>
      </c>
    </row>
    <row r="382" spans="1:27" ht="17.100000000000001" customHeight="1">
      <c r="A382" s="1666"/>
      <c r="B382" s="1678"/>
      <c r="C382" s="3497" t="s">
        <v>810</v>
      </c>
      <c r="D382" s="3497"/>
      <c r="E382" s="1672">
        <f>E383</f>
        <v>374208309</v>
      </c>
      <c r="F382" s="1672">
        <f t="shared" ref="F382" si="87">F383</f>
        <v>393749310</v>
      </c>
      <c r="G382" s="1673">
        <f t="shared" si="83"/>
        <v>1.0522195807255579</v>
      </c>
      <c r="H382" s="1635">
        <f t="shared" si="84"/>
        <v>0</v>
      </c>
    </row>
    <row r="383" spans="1:27" ht="17.100000000000001" customHeight="1">
      <c r="A383" s="1666"/>
      <c r="B383" s="1678"/>
      <c r="C383" s="3491" t="s">
        <v>931</v>
      </c>
      <c r="D383" s="3491"/>
      <c r="E383" s="1687">
        <f>SUM(E384:E394)</f>
        <v>374208309</v>
      </c>
      <c r="F383" s="1687">
        <f t="shared" ref="F383" si="88">SUM(F384:F394)</f>
        <v>393749310</v>
      </c>
      <c r="G383" s="1675">
        <f t="shared" si="83"/>
        <v>1.0522195807255579</v>
      </c>
      <c r="H383" s="1635">
        <f t="shared" si="84"/>
        <v>0</v>
      </c>
    </row>
    <row r="384" spans="1:27" ht="17.100000000000001" customHeight="1">
      <c r="A384" s="1666"/>
      <c r="B384" s="1678"/>
      <c r="C384" s="1743" t="s">
        <v>821</v>
      </c>
      <c r="D384" s="1746" t="s">
        <v>813</v>
      </c>
      <c r="E384" s="1687">
        <v>80875819</v>
      </c>
      <c r="F384" s="1687">
        <f>H384</f>
        <v>146266358</v>
      </c>
      <c r="G384" s="1675">
        <f t="shared" si="83"/>
        <v>1.808530161530729</v>
      </c>
      <c r="H384" s="1635">
        <f t="shared" si="84"/>
        <v>146266358</v>
      </c>
      <c r="AA384" s="1637">
        <f>147079358-563000-250000</f>
        <v>146266358</v>
      </c>
    </row>
    <row r="385" spans="1:27" ht="17.100000000000001" customHeight="1">
      <c r="A385" s="1666"/>
      <c r="B385" s="1678"/>
      <c r="C385" s="1743" t="s">
        <v>920</v>
      </c>
      <c r="D385" s="1746" t="s">
        <v>813</v>
      </c>
      <c r="E385" s="1687">
        <v>180019319</v>
      </c>
      <c r="F385" s="1687">
        <f t="shared" ref="F385:F394" si="89">H385</f>
        <v>171200556</v>
      </c>
      <c r="G385" s="1675">
        <f t="shared" si="83"/>
        <v>0.95101212998144935</v>
      </c>
      <c r="H385" s="1635">
        <f t="shared" si="84"/>
        <v>171200556</v>
      </c>
      <c r="AA385" s="1637">
        <v>171200556</v>
      </c>
    </row>
    <row r="386" spans="1:27" ht="17.100000000000001" hidden="1" customHeight="1">
      <c r="A386" s="1666"/>
      <c r="B386" s="1678"/>
      <c r="C386" s="1743" t="s">
        <v>932</v>
      </c>
      <c r="D386" s="1746" t="s">
        <v>813</v>
      </c>
      <c r="E386" s="1687">
        <v>26878970</v>
      </c>
      <c r="F386" s="1687">
        <f t="shared" si="89"/>
        <v>0</v>
      </c>
      <c r="G386" s="1675">
        <f t="shared" si="83"/>
        <v>0</v>
      </c>
      <c r="H386" s="1635">
        <f t="shared" si="84"/>
        <v>0</v>
      </c>
      <c r="AA386" s="1637">
        <v>0</v>
      </c>
    </row>
    <row r="387" spans="1:27" ht="17.100000000000001" customHeight="1">
      <c r="A387" s="1666"/>
      <c r="B387" s="1678"/>
      <c r="C387" s="1743" t="s">
        <v>921</v>
      </c>
      <c r="D387" s="1746" t="s">
        <v>813</v>
      </c>
      <c r="E387" s="1687">
        <v>46676360</v>
      </c>
      <c r="F387" s="1687">
        <f t="shared" si="89"/>
        <v>59987396</v>
      </c>
      <c r="G387" s="1675">
        <f t="shared" si="83"/>
        <v>1.2851772503254324</v>
      </c>
      <c r="H387" s="1635">
        <f t="shared" si="84"/>
        <v>59987396</v>
      </c>
      <c r="AA387" s="1637">
        <v>59987396</v>
      </c>
    </row>
    <row r="388" spans="1:27" ht="17.100000000000001" customHeight="1">
      <c r="A388" s="1666"/>
      <c r="B388" s="1678"/>
      <c r="C388" s="1743" t="s">
        <v>812</v>
      </c>
      <c r="D388" s="1746" t="s">
        <v>861</v>
      </c>
      <c r="E388" s="1687">
        <v>13650957</v>
      </c>
      <c r="F388" s="1687">
        <f t="shared" si="89"/>
        <v>7045000</v>
      </c>
      <c r="G388" s="1675">
        <f t="shared" si="83"/>
        <v>0.51608103373265335</v>
      </c>
      <c r="H388" s="1635">
        <f t="shared" si="84"/>
        <v>7045000</v>
      </c>
      <c r="AA388" s="1637">
        <v>7045000</v>
      </c>
    </row>
    <row r="389" spans="1:27" ht="17.100000000000001" customHeight="1">
      <c r="A389" s="1666"/>
      <c r="B389" s="1678"/>
      <c r="C389" s="1743" t="s">
        <v>897</v>
      </c>
      <c r="D389" s="1746" t="s">
        <v>861</v>
      </c>
      <c r="E389" s="1687">
        <v>6276788</v>
      </c>
      <c r="F389" s="1687">
        <f t="shared" si="89"/>
        <v>7650000</v>
      </c>
      <c r="G389" s="1675">
        <f t="shared" si="83"/>
        <v>1.2187762275864662</v>
      </c>
      <c r="H389" s="1635">
        <f t="shared" si="84"/>
        <v>7650000</v>
      </c>
      <c r="AA389" s="1637">
        <v>7650000</v>
      </c>
    </row>
    <row r="390" spans="1:27" ht="17.100000000000001" hidden="1" customHeight="1">
      <c r="A390" s="1666"/>
      <c r="B390" s="1678"/>
      <c r="C390" s="1743" t="s">
        <v>933</v>
      </c>
      <c r="D390" s="1746" t="s">
        <v>861</v>
      </c>
      <c r="E390" s="1687">
        <v>31500</v>
      </c>
      <c r="F390" s="1687">
        <f t="shared" si="89"/>
        <v>0</v>
      </c>
      <c r="G390" s="1675">
        <f t="shared" si="83"/>
        <v>0</v>
      </c>
      <c r="H390" s="1635">
        <f t="shared" si="84"/>
        <v>0</v>
      </c>
      <c r="AA390" s="1637">
        <v>0</v>
      </c>
    </row>
    <row r="391" spans="1:27" ht="17.100000000000001" customHeight="1">
      <c r="A391" s="1666"/>
      <c r="B391" s="1678"/>
      <c r="C391" s="1743" t="s">
        <v>918</v>
      </c>
      <c r="D391" s="1746" t="s">
        <v>861</v>
      </c>
      <c r="E391" s="1687">
        <v>1170537</v>
      </c>
      <c r="F391" s="1687">
        <f t="shared" si="89"/>
        <v>1350000</v>
      </c>
      <c r="G391" s="1675">
        <f t="shared" si="83"/>
        <v>1.1533168110021297</v>
      </c>
      <c r="H391" s="1635">
        <f t="shared" si="84"/>
        <v>1350000</v>
      </c>
      <c r="AA391" s="1637">
        <v>1350000</v>
      </c>
    </row>
    <row r="392" spans="1:27" ht="45.75" customHeight="1">
      <c r="A392" s="1666"/>
      <c r="B392" s="1678"/>
      <c r="C392" s="1845" t="s">
        <v>862</v>
      </c>
      <c r="D392" s="1796" t="s">
        <v>1441</v>
      </c>
      <c r="E392" s="1687">
        <v>18628059</v>
      </c>
      <c r="F392" s="1687">
        <f t="shared" si="89"/>
        <v>250000</v>
      </c>
      <c r="G392" s="1675">
        <f t="shared" si="83"/>
        <v>1.3420614568592466E-2</v>
      </c>
      <c r="H392" s="1635">
        <f t="shared" si="84"/>
        <v>250000</v>
      </c>
      <c r="AA392" s="1637">
        <v>250000</v>
      </c>
    </row>
    <row r="393" spans="1:27" ht="0.75" hidden="1" customHeight="1">
      <c r="A393" s="1666"/>
      <c r="B393" s="1678"/>
      <c r="C393" s="1846" t="s">
        <v>934</v>
      </c>
      <c r="D393" s="1847" t="s">
        <v>822</v>
      </c>
      <c r="E393" s="1687">
        <v>0</v>
      </c>
      <c r="F393" s="1687">
        <f t="shared" si="89"/>
        <v>0</v>
      </c>
      <c r="G393" s="1675" t="e">
        <f t="shared" si="83"/>
        <v>#DIV/0!</v>
      </c>
      <c r="H393" s="1635">
        <f t="shared" si="84"/>
        <v>0</v>
      </c>
    </row>
    <row r="394" spans="1:27" ht="0.75" hidden="1" customHeight="1">
      <c r="A394" s="1666"/>
      <c r="B394" s="1678"/>
      <c r="C394" s="1845" t="s">
        <v>903</v>
      </c>
      <c r="D394" s="1847" t="s">
        <v>822</v>
      </c>
      <c r="E394" s="1687">
        <v>0</v>
      </c>
      <c r="F394" s="1687">
        <f t="shared" si="89"/>
        <v>0</v>
      </c>
      <c r="G394" s="1675" t="e">
        <f t="shared" si="83"/>
        <v>#DIV/0!</v>
      </c>
      <c r="H394" s="1635">
        <f t="shared" si="84"/>
        <v>0</v>
      </c>
    </row>
    <row r="395" spans="1:27" ht="13.5" customHeight="1">
      <c r="A395" s="1666"/>
      <c r="B395" s="1678"/>
      <c r="C395" s="1848"/>
      <c r="D395" s="1849"/>
      <c r="E395" s="1850"/>
      <c r="F395" s="1850"/>
      <c r="G395" s="1851"/>
      <c r="H395" s="1635">
        <f t="shared" si="84"/>
        <v>0</v>
      </c>
    </row>
    <row r="396" spans="1:27" ht="32.25" customHeight="1">
      <c r="A396" s="1666"/>
      <c r="B396" s="1678"/>
      <c r="C396" s="3523" t="s">
        <v>823</v>
      </c>
      <c r="D396" s="3524"/>
      <c r="E396" s="1713">
        <f>SUM(E397:E407)</f>
        <v>306136044</v>
      </c>
      <c r="F396" s="1713">
        <f>SUM(F397:F407)</f>
        <v>254949539</v>
      </c>
      <c r="G396" s="1714">
        <f t="shared" si="83"/>
        <v>0.83279817583322535</v>
      </c>
      <c r="H396" s="1635">
        <f t="shared" si="84"/>
        <v>0</v>
      </c>
    </row>
    <row r="397" spans="1:27" ht="17.100000000000001" customHeight="1">
      <c r="A397" s="1666"/>
      <c r="B397" s="1678"/>
      <c r="C397" s="1852" t="s">
        <v>821</v>
      </c>
      <c r="D397" s="1853" t="s">
        <v>813</v>
      </c>
      <c r="E397" s="1687">
        <v>21423554</v>
      </c>
      <c r="F397" s="1687">
        <f>H397</f>
        <v>13761587</v>
      </c>
      <c r="G397" s="1675">
        <f t="shared" si="83"/>
        <v>0.64235779927083991</v>
      </c>
      <c r="H397" s="1635">
        <f t="shared" si="84"/>
        <v>13761587</v>
      </c>
      <c r="AA397" s="1637">
        <v>13761587</v>
      </c>
    </row>
    <row r="398" spans="1:27" ht="17.100000000000001" customHeight="1">
      <c r="A398" s="1666"/>
      <c r="B398" s="1678"/>
      <c r="C398" s="1852" t="s">
        <v>920</v>
      </c>
      <c r="D398" s="1853" t="s">
        <v>813</v>
      </c>
      <c r="E398" s="1687">
        <v>180019319</v>
      </c>
      <c r="F398" s="1687">
        <f t="shared" ref="F398:F407" si="90">H398</f>
        <v>171200556</v>
      </c>
      <c r="G398" s="1675">
        <f t="shared" si="83"/>
        <v>0.95101212998144935</v>
      </c>
      <c r="H398" s="1635">
        <f t="shared" si="84"/>
        <v>171200556</v>
      </c>
      <c r="AA398" s="1637">
        <v>171200556</v>
      </c>
    </row>
    <row r="399" spans="1:27" ht="17.100000000000001" hidden="1" customHeight="1">
      <c r="A399" s="1666"/>
      <c r="B399" s="1678"/>
      <c r="C399" s="1852" t="s">
        <v>932</v>
      </c>
      <c r="D399" s="1853" t="s">
        <v>813</v>
      </c>
      <c r="E399" s="1687">
        <v>26878970</v>
      </c>
      <c r="F399" s="1687">
        <f t="shared" si="90"/>
        <v>0</v>
      </c>
      <c r="G399" s="1675">
        <f t="shared" si="83"/>
        <v>0</v>
      </c>
      <c r="H399" s="1635">
        <f t="shared" si="84"/>
        <v>0</v>
      </c>
      <c r="AA399" s="1637">
        <v>0</v>
      </c>
    </row>
    <row r="400" spans="1:27" ht="17.100000000000001" customHeight="1">
      <c r="A400" s="1666"/>
      <c r="B400" s="1678"/>
      <c r="C400" s="1854" t="s">
        <v>921</v>
      </c>
      <c r="D400" s="1855" t="s">
        <v>813</v>
      </c>
      <c r="E400" s="1687">
        <v>46676360</v>
      </c>
      <c r="F400" s="1687">
        <f t="shared" si="90"/>
        <v>59987396</v>
      </c>
      <c r="G400" s="1675">
        <f t="shared" si="83"/>
        <v>1.2851772503254324</v>
      </c>
      <c r="H400" s="1635">
        <f t="shared" si="84"/>
        <v>59987396</v>
      </c>
      <c r="AA400" s="1637">
        <v>59987396</v>
      </c>
    </row>
    <row r="401" spans="1:169" ht="17.100000000000001" customHeight="1">
      <c r="A401" s="1666"/>
      <c r="B401" s="1678"/>
      <c r="C401" s="1856" t="s">
        <v>812</v>
      </c>
      <c r="D401" s="1857" t="s">
        <v>861</v>
      </c>
      <c r="E401" s="1687">
        <v>5030957</v>
      </c>
      <c r="F401" s="1687">
        <f t="shared" si="90"/>
        <v>1000000</v>
      </c>
      <c r="G401" s="1675">
        <f t="shared" si="83"/>
        <v>0.19876933951134942</v>
      </c>
      <c r="H401" s="1635">
        <f t="shared" si="84"/>
        <v>1000000</v>
      </c>
      <c r="AA401" s="1637">
        <v>1000000</v>
      </c>
    </row>
    <row r="402" spans="1:169" ht="17.100000000000001" customHeight="1">
      <c r="A402" s="1666"/>
      <c r="B402" s="1678"/>
      <c r="C402" s="1719" t="s">
        <v>897</v>
      </c>
      <c r="D402" s="1720" t="s">
        <v>861</v>
      </c>
      <c r="E402" s="1749">
        <v>6276788</v>
      </c>
      <c r="F402" s="1687">
        <f t="shared" si="90"/>
        <v>7650000</v>
      </c>
      <c r="G402" s="1750">
        <f t="shared" si="83"/>
        <v>1.2187762275864662</v>
      </c>
      <c r="H402" s="1635">
        <f t="shared" si="84"/>
        <v>7650000</v>
      </c>
      <c r="AA402" s="1637">
        <v>7650000</v>
      </c>
    </row>
    <row r="403" spans="1:169" ht="17.100000000000001" customHeight="1">
      <c r="A403" s="3039"/>
      <c r="B403" s="3038"/>
      <c r="C403" s="3063" t="s">
        <v>933</v>
      </c>
      <c r="D403" s="3053" t="s">
        <v>861</v>
      </c>
      <c r="E403" s="2756">
        <v>31500</v>
      </c>
      <c r="F403" s="2756">
        <f t="shared" si="90"/>
        <v>0</v>
      </c>
      <c r="G403" s="1675">
        <f t="shared" si="83"/>
        <v>0</v>
      </c>
      <c r="H403" s="1635">
        <f t="shared" si="84"/>
        <v>0</v>
      </c>
      <c r="AA403" s="1637">
        <v>0</v>
      </c>
    </row>
    <row r="404" spans="1:169" ht="17.100000000000001" customHeight="1" thickBot="1">
      <c r="A404" s="1792"/>
      <c r="B404" s="3183"/>
      <c r="C404" s="3048" t="s">
        <v>918</v>
      </c>
      <c r="D404" s="3054" t="s">
        <v>861</v>
      </c>
      <c r="E404" s="1694">
        <v>1170537</v>
      </c>
      <c r="F404" s="1694">
        <f t="shared" si="90"/>
        <v>1350000</v>
      </c>
      <c r="G404" s="1675">
        <f t="shared" si="83"/>
        <v>1.1533168110021297</v>
      </c>
      <c r="H404" s="1635">
        <f t="shared" si="84"/>
        <v>1350000</v>
      </c>
      <c r="AA404" s="1637">
        <v>1350000</v>
      </c>
    </row>
    <row r="405" spans="1:169" ht="48.75" hidden="1" customHeight="1" thickBot="1">
      <c r="A405" s="1666"/>
      <c r="B405" s="1678"/>
      <c r="C405" s="1846" t="s">
        <v>419</v>
      </c>
      <c r="D405" s="3062" t="s">
        <v>905</v>
      </c>
      <c r="E405" s="1861">
        <v>18628059</v>
      </c>
      <c r="F405" s="3046">
        <f t="shared" si="90"/>
        <v>0</v>
      </c>
      <c r="G405" s="1689">
        <f t="shared" si="83"/>
        <v>0</v>
      </c>
      <c r="H405" s="1635">
        <f t="shared" si="84"/>
        <v>0</v>
      </c>
    </row>
    <row r="406" spans="1:169" ht="51.75" hidden="1" customHeight="1">
      <c r="A406" s="1666"/>
      <c r="B406" s="1678"/>
      <c r="C406" s="1846" t="s">
        <v>934</v>
      </c>
      <c r="D406" s="1847" t="s">
        <v>822</v>
      </c>
      <c r="E406" s="1862">
        <v>0</v>
      </c>
      <c r="F406" s="1687">
        <f t="shared" si="90"/>
        <v>0</v>
      </c>
      <c r="G406" s="1863" t="e">
        <f t="shared" si="83"/>
        <v>#DIV/0!</v>
      </c>
      <c r="H406" s="1635">
        <f t="shared" si="84"/>
        <v>0</v>
      </c>
    </row>
    <row r="407" spans="1:169" ht="56.25" hidden="1" customHeight="1" thickBot="1">
      <c r="A407" s="1666"/>
      <c r="B407" s="1678"/>
      <c r="C407" s="1860" t="s">
        <v>903</v>
      </c>
      <c r="D407" s="1847" t="s">
        <v>822</v>
      </c>
      <c r="E407" s="1694">
        <v>0</v>
      </c>
      <c r="F407" s="1687">
        <f t="shared" si="90"/>
        <v>0</v>
      </c>
      <c r="G407" s="1695" t="e">
        <f t="shared" si="83"/>
        <v>#DIV/0!</v>
      </c>
      <c r="H407" s="1635">
        <f t="shared" si="84"/>
        <v>0</v>
      </c>
    </row>
    <row r="408" spans="1:169" ht="15" customHeight="1" thickBot="1">
      <c r="A408" s="1666"/>
      <c r="B408" s="1734" t="s">
        <v>136</v>
      </c>
      <c r="C408" s="1735"/>
      <c r="D408" s="1736" t="s">
        <v>935</v>
      </c>
      <c r="E408" s="1737">
        <f>E409+E413</f>
        <v>3702814</v>
      </c>
      <c r="F408" s="1737">
        <f t="shared" ref="F408" si="91">F409+F413</f>
        <v>1315716</v>
      </c>
      <c r="G408" s="1738">
        <f t="shared" si="83"/>
        <v>0.35532867705480209</v>
      </c>
      <c r="H408" s="1635">
        <f t="shared" si="84"/>
        <v>0</v>
      </c>
    </row>
    <row r="409" spans="1:169" ht="15" hidden="1" customHeight="1">
      <c r="A409" s="1666"/>
      <c r="B409" s="1864"/>
      <c r="C409" s="3472" t="s">
        <v>755</v>
      </c>
      <c r="D409" s="3472"/>
      <c r="E409" s="1865">
        <f>E410</f>
        <v>600000</v>
      </c>
      <c r="F409" s="1865">
        <f t="shared" ref="F409:F410" si="92">F410</f>
        <v>0</v>
      </c>
      <c r="G409" s="1866">
        <f t="shared" si="83"/>
        <v>0</v>
      </c>
      <c r="H409" s="1635">
        <f t="shared" si="84"/>
        <v>0</v>
      </c>
    </row>
    <row r="410" spans="1:169" ht="15" hidden="1" customHeight="1">
      <c r="A410" s="1666"/>
      <c r="B410" s="1867"/>
      <c r="C410" s="3520" t="s">
        <v>857</v>
      </c>
      <c r="D410" s="3520"/>
      <c r="E410" s="1868">
        <f>E411</f>
        <v>600000</v>
      </c>
      <c r="F410" s="1868">
        <f t="shared" si="92"/>
        <v>0</v>
      </c>
      <c r="G410" s="1869">
        <f t="shared" si="83"/>
        <v>0</v>
      </c>
      <c r="H410" s="1635">
        <f t="shared" si="84"/>
        <v>0</v>
      </c>
    </row>
    <row r="411" spans="1:169" ht="36.75" hidden="1" customHeight="1">
      <c r="A411" s="1666"/>
      <c r="B411" s="1867"/>
      <c r="C411" s="1870" t="s">
        <v>394</v>
      </c>
      <c r="D411" s="1871" t="s">
        <v>914</v>
      </c>
      <c r="E411" s="1868">
        <v>600000</v>
      </c>
      <c r="F411" s="1868">
        <f>H411</f>
        <v>0</v>
      </c>
      <c r="G411" s="1869">
        <f t="shared" si="83"/>
        <v>0</v>
      </c>
      <c r="H411" s="1635">
        <f t="shared" si="84"/>
        <v>0</v>
      </c>
    </row>
    <row r="412" spans="1:169" ht="15" hidden="1" customHeight="1">
      <c r="A412" s="1666"/>
      <c r="B412" s="1867"/>
      <c r="C412" s="1872"/>
      <c r="D412" s="1873"/>
      <c r="E412" s="1874"/>
      <c r="F412" s="1874"/>
      <c r="G412" s="1875"/>
      <c r="H412" s="1635">
        <f t="shared" si="84"/>
        <v>0</v>
      </c>
    </row>
    <row r="413" spans="1:169">
      <c r="A413" s="1666"/>
      <c r="B413" s="1678"/>
      <c r="C413" s="3497" t="s">
        <v>810</v>
      </c>
      <c r="D413" s="3497"/>
      <c r="E413" s="1672">
        <f t="shared" ref="E413:F414" si="93">E414</f>
        <v>3102814</v>
      </c>
      <c r="F413" s="1672">
        <f t="shared" si="93"/>
        <v>1315716</v>
      </c>
      <c r="G413" s="1673">
        <f t="shared" si="83"/>
        <v>0.42403959760398141</v>
      </c>
      <c r="H413" s="1635">
        <f t="shared" si="84"/>
        <v>0</v>
      </c>
    </row>
    <row r="414" spans="1:169" ht="16.5" customHeight="1">
      <c r="A414" s="1666"/>
      <c r="B414" s="1678"/>
      <c r="C414" s="3520" t="s">
        <v>937</v>
      </c>
      <c r="D414" s="3520"/>
      <c r="E414" s="1687">
        <f t="shared" si="93"/>
        <v>3102814</v>
      </c>
      <c r="F414" s="1687">
        <f t="shared" si="93"/>
        <v>1315716</v>
      </c>
      <c r="G414" s="1675">
        <f t="shared" si="83"/>
        <v>0.42403959760398141</v>
      </c>
      <c r="H414" s="1635">
        <f t="shared" si="84"/>
        <v>0</v>
      </c>
    </row>
    <row r="415" spans="1:169" ht="39" thickBot="1">
      <c r="A415" s="1666"/>
      <c r="B415" s="1678"/>
      <c r="C415" s="1858" t="s">
        <v>938</v>
      </c>
      <c r="D415" s="1859" t="s">
        <v>939</v>
      </c>
      <c r="E415" s="1862">
        <v>3102814</v>
      </c>
      <c r="F415" s="1862">
        <f>H415</f>
        <v>1315716</v>
      </c>
      <c r="G415" s="1863">
        <f t="shared" si="83"/>
        <v>0.42403959760398141</v>
      </c>
      <c r="H415" s="1635">
        <f t="shared" si="84"/>
        <v>1315716</v>
      </c>
      <c r="AA415" s="1637">
        <v>1315716</v>
      </c>
    </row>
    <row r="416" spans="1:169" s="1885" customFormat="1" ht="17.25" hidden="1" customHeight="1" thickBot="1">
      <c r="A416" s="1876"/>
      <c r="B416" s="1877" t="s">
        <v>940</v>
      </c>
      <c r="C416" s="1878"/>
      <c r="D416" s="1879" t="s">
        <v>941</v>
      </c>
      <c r="E416" s="1880">
        <f t="shared" ref="E416:F418" si="94">E417</f>
        <v>231500</v>
      </c>
      <c r="F416" s="1737">
        <f t="shared" si="94"/>
        <v>0</v>
      </c>
      <c r="G416" s="1881">
        <f t="shared" ref="G416:G486" si="95">F416/E416</f>
        <v>0</v>
      </c>
      <c r="H416" s="1635">
        <f t="shared" si="84"/>
        <v>0</v>
      </c>
      <c r="I416" s="1882"/>
      <c r="J416" s="1882"/>
      <c r="K416" s="1882"/>
      <c r="L416" s="1882"/>
      <c r="M416" s="1882"/>
      <c r="N416" s="1882"/>
      <c r="O416" s="1882"/>
      <c r="P416" s="1882"/>
      <c r="Q416" s="1882"/>
      <c r="R416" s="1882"/>
      <c r="S416" s="1882"/>
      <c r="T416" s="1882"/>
      <c r="U416" s="1882"/>
      <c r="V416" s="1882"/>
      <c r="W416" s="1882"/>
      <c r="X416" s="1882"/>
      <c r="Y416" s="1882"/>
      <c r="Z416" s="1883"/>
      <c r="AA416" s="1883"/>
      <c r="AB416" s="1883"/>
      <c r="AC416" s="1882"/>
      <c r="AD416" s="1882"/>
      <c r="AE416" s="1883"/>
      <c r="AF416" s="1884"/>
      <c r="AG416" s="1884"/>
      <c r="AH416" s="1884"/>
      <c r="AI416" s="1884"/>
      <c r="AJ416" s="1884"/>
      <c r="AK416" s="1884"/>
      <c r="AL416" s="1884"/>
      <c r="AM416" s="1884"/>
      <c r="AN416" s="1884"/>
      <c r="AO416" s="1884"/>
      <c r="AP416" s="1884"/>
      <c r="AQ416" s="1884"/>
      <c r="AR416" s="1884"/>
      <c r="AS416" s="1884"/>
      <c r="AT416" s="1884"/>
      <c r="AU416" s="1884"/>
      <c r="AV416" s="1884"/>
      <c r="AW416" s="1884"/>
      <c r="AX416" s="1884"/>
      <c r="AY416" s="1884"/>
      <c r="AZ416" s="1884"/>
      <c r="BA416" s="1884"/>
      <c r="BB416" s="1884"/>
      <c r="BC416" s="1884"/>
      <c r="BD416" s="1884"/>
      <c r="BE416" s="1884"/>
      <c r="BF416" s="1884"/>
      <c r="BG416" s="1884"/>
      <c r="BH416" s="1884"/>
      <c r="BI416" s="1884"/>
      <c r="BJ416" s="1884"/>
      <c r="BK416" s="1884"/>
      <c r="BL416" s="1884"/>
      <c r="BM416" s="1884"/>
      <c r="BN416" s="1884"/>
      <c r="BO416" s="1884"/>
      <c r="BP416" s="1884"/>
      <c r="BQ416" s="1884"/>
      <c r="BR416" s="1884"/>
      <c r="BS416" s="1884"/>
      <c r="BT416" s="1884"/>
      <c r="BU416" s="1884"/>
      <c r="BV416" s="1884"/>
      <c r="BW416" s="1884"/>
      <c r="BX416" s="1884"/>
      <c r="BY416" s="1884"/>
      <c r="BZ416" s="1884"/>
      <c r="CA416" s="1884"/>
      <c r="CB416" s="1884"/>
      <c r="CC416" s="1884"/>
      <c r="CD416" s="1884"/>
      <c r="CE416" s="1884"/>
      <c r="CF416" s="1884"/>
      <c r="CG416" s="1884"/>
      <c r="CH416" s="1884"/>
      <c r="CI416" s="1884"/>
      <c r="CJ416" s="1884"/>
      <c r="CK416" s="1884"/>
      <c r="CL416" s="1884"/>
      <c r="CM416" s="1884"/>
      <c r="CN416" s="1884"/>
      <c r="CO416" s="1884"/>
      <c r="CP416" s="1884"/>
      <c r="CQ416" s="1884"/>
      <c r="CR416" s="1884"/>
      <c r="CS416" s="1884"/>
      <c r="CT416" s="1884"/>
      <c r="CU416" s="1884"/>
      <c r="CV416" s="1884"/>
      <c r="CW416" s="1884"/>
      <c r="CX416" s="1884"/>
      <c r="CY416" s="1884"/>
      <c r="CZ416" s="1884"/>
      <c r="DA416" s="1884"/>
      <c r="DB416" s="1884"/>
      <c r="DC416" s="1884"/>
      <c r="DD416" s="1884"/>
      <c r="DE416" s="1884"/>
      <c r="DF416" s="1884"/>
      <c r="DG416" s="1884"/>
      <c r="DH416" s="1884"/>
      <c r="DI416" s="1884"/>
      <c r="DJ416" s="1884"/>
      <c r="DK416" s="1884"/>
      <c r="DL416" s="1884"/>
      <c r="DM416" s="1884"/>
      <c r="DN416" s="1884"/>
      <c r="DO416" s="1884"/>
      <c r="DP416" s="1884"/>
      <c r="DQ416" s="1884"/>
      <c r="DR416" s="1884"/>
      <c r="DS416" s="1884"/>
      <c r="DT416" s="1884"/>
      <c r="DU416" s="1884"/>
      <c r="DV416" s="1884"/>
      <c r="DW416" s="1884"/>
      <c r="DX416" s="1884"/>
      <c r="DY416" s="1884"/>
      <c r="DZ416" s="1884"/>
      <c r="EA416" s="1884"/>
      <c r="EB416" s="1884"/>
      <c r="EC416" s="1884"/>
      <c r="ED416" s="1884"/>
      <c r="EE416" s="1884"/>
      <c r="EF416" s="1884"/>
      <c r="EG416" s="1884"/>
      <c r="EH416" s="1884"/>
      <c r="EI416" s="1884"/>
      <c r="EJ416" s="1884"/>
      <c r="EK416" s="1884"/>
      <c r="EL416" s="1884"/>
      <c r="EM416" s="1884"/>
      <c r="EN416" s="1884"/>
      <c r="EO416" s="1884"/>
      <c r="EP416" s="1884"/>
      <c r="EQ416" s="1884"/>
      <c r="ER416" s="1884"/>
      <c r="ES416" s="1884"/>
      <c r="ET416" s="1884"/>
      <c r="EU416" s="1884"/>
      <c r="EV416" s="1884"/>
      <c r="EW416" s="1884"/>
      <c r="EX416" s="1884"/>
      <c r="EY416" s="1884"/>
      <c r="EZ416" s="1884"/>
      <c r="FA416" s="1884"/>
      <c r="FB416" s="1884"/>
      <c r="FC416" s="1884"/>
      <c r="FD416" s="1884"/>
      <c r="FE416" s="1884"/>
      <c r="FF416" s="1884"/>
      <c r="FG416" s="1884"/>
      <c r="FH416" s="1884"/>
      <c r="FI416" s="1884"/>
      <c r="FJ416" s="1884"/>
      <c r="FK416" s="1884"/>
      <c r="FL416" s="1884"/>
      <c r="FM416" s="1884"/>
    </row>
    <row r="417" spans="1:169" s="1888" customFormat="1" ht="18" hidden="1" customHeight="1">
      <c r="A417" s="1666"/>
      <c r="B417" s="3519"/>
      <c r="C417" s="3497" t="s">
        <v>936</v>
      </c>
      <c r="D417" s="3497"/>
      <c r="E417" s="1886">
        <f t="shared" si="94"/>
        <v>231500</v>
      </c>
      <c r="F417" s="1672">
        <f t="shared" si="94"/>
        <v>0</v>
      </c>
      <c r="G417" s="1887">
        <f t="shared" si="95"/>
        <v>0</v>
      </c>
      <c r="H417" s="1635">
        <f t="shared" ref="H417:H487" si="96">SUM(I417:AE417)</f>
        <v>0</v>
      </c>
      <c r="I417" s="1636"/>
      <c r="J417" s="1636"/>
      <c r="K417" s="1636"/>
      <c r="L417" s="1636"/>
      <c r="M417" s="1636"/>
      <c r="N417" s="1636"/>
      <c r="O417" s="1636"/>
      <c r="P417" s="1636"/>
      <c r="Q417" s="1636"/>
      <c r="R417" s="1636"/>
      <c r="S417" s="1636"/>
      <c r="T417" s="1636"/>
      <c r="U417" s="1636"/>
      <c r="V417" s="1636"/>
      <c r="W417" s="1636"/>
      <c r="X417" s="1636"/>
      <c r="Y417" s="1636"/>
      <c r="Z417" s="1637"/>
      <c r="AA417" s="1637"/>
      <c r="AB417" s="1637"/>
      <c r="AC417" s="1636"/>
      <c r="AD417" s="1636"/>
      <c r="AE417" s="1637"/>
      <c r="AF417" s="1632"/>
      <c r="AG417" s="1632"/>
      <c r="AH417" s="1632"/>
      <c r="AI417" s="1632"/>
      <c r="AJ417" s="1632"/>
      <c r="AK417" s="1632"/>
      <c r="AL417" s="1632"/>
      <c r="AM417" s="1632"/>
      <c r="AN417" s="1632"/>
      <c r="AO417" s="1632"/>
      <c r="AP417" s="1632"/>
      <c r="AQ417" s="1632"/>
      <c r="AR417" s="1632"/>
      <c r="AS417" s="1632"/>
      <c r="AT417" s="1632"/>
      <c r="AU417" s="1632"/>
      <c r="AV417" s="1632"/>
      <c r="AW417" s="1632"/>
      <c r="AX417" s="1632"/>
      <c r="AY417" s="1632"/>
      <c r="AZ417" s="1632"/>
      <c r="BA417" s="1632"/>
      <c r="BB417" s="1632"/>
      <c r="BC417" s="1632"/>
      <c r="BD417" s="1632"/>
      <c r="BE417" s="1632"/>
      <c r="BF417" s="1632"/>
      <c r="BG417" s="1632"/>
      <c r="BH417" s="1632"/>
      <c r="BI417" s="1632"/>
      <c r="BJ417" s="1632"/>
      <c r="BK417" s="1632"/>
      <c r="BL417" s="1632"/>
      <c r="BM417" s="1632"/>
      <c r="BN417" s="1632"/>
      <c r="BO417" s="1632"/>
      <c r="BP417" s="1632"/>
      <c r="BQ417" s="1632"/>
      <c r="BR417" s="1632"/>
      <c r="BS417" s="1632"/>
      <c r="BT417" s="1632"/>
      <c r="BU417" s="1632"/>
      <c r="BV417" s="1632"/>
      <c r="BW417" s="1632"/>
      <c r="BX417" s="1632"/>
      <c r="BY417" s="1632"/>
      <c r="BZ417" s="1632"/>
      <c r="CA417" s="1632"/>
      <c r="CB417" s="1632"/>
      <c r="CC417" s="1632"/>
      <c r="CD417" s="1632"/>
      <c r="CE417" s="1632"/>
      <c r="CF417" s="1632"/>
      <c r="CG417" s="1632"/>
      <c r="CH417" s="1632"/>
      <c r="CI417" s="1632"/>
      <c r="CJ417" s="1632"/>
      <c r="CK417" s="1632"/>
      <c r="CL417" s="1632"/>
      <c r="CM417" s="1632"/>
      <c r="CN417" s="1632"/>
      <c r="CO417" s="1632"/>
      <c r="CP417" s="1632"/>
      <c r="CQ417" s="1632"/>
      <c r="CR417" s="1632"/>
      <c r="CS417" s="1632"/>
      <c r="CT417" s="1632"/>
      <c r="CU417" s="1632"/>
      <c r="CV417" s="1632"/>
      <c r="CW417" s="1632"/>
      <c r="CX417" s="1632"/>
      <c r="CY417" s="1632"/>
      <c r="CZ417" s="1632"/>
      <c r="DA417" s="1632"/>
      <c r="DB417" s="1632"/>
      <c r="DC417" s="1632"/>
      <c r="DD417" s="1632"/>
      <c r="DE417" s="1632"/>
      <c r="DF417" s="1632"/>
      <c r="DG417" s="1632"/>
      <c r="DH417" s="1632"/>
      <c r="DI417" s="1632"/>
      <c r="DJ417" s="1632"/>
      <c r="DK417" s="1632"/>
      <c r="DL417" s="1632"/>
      <c r="DM417" s="1632"/>
      <c r="DN417" s="1632"/>
      <c r="DO417" s="1632"/>
      <c r="DP417" s="1632"/>
      <c r="DQ417" s="1632"/>
      <c r="DR417" s="1632"/>
      <c r="DS417" s="1632"/>
      <c r="DT417" s="1632"/>
      <c r="DU417" s="1632"/>
      <c r="DV417" s="1632"/>
      <c r="DW417" s="1632"/>
      <c r="DX417" s="1632"/>
      <c r="DY417" s="1632"/>
      <c r="DZ417" s="1632"/>
      <c r="EA417" s="1632"/>
      <c r="EB417" s="1632"/>
      <c r="EC417" s="1632"/>
      <c r="ED417" s="1632"/>
      <c r="EE417" s="1632"/>
      <c r="EF417" s="1632"/>
      <c r="EG417" s="1632"/>
      <c r="EH417" s="1632"/>
      <c r="EI417" s="1632"/>
      <c r="EJ417" s="1632"/>
      <c r="EK417" s="1632"/>
      <c r="EL417" s="1632"/>
      <c r="EM417" s="1632"/>
      <c r="EN417" s="1632"/>
      <c r="EO417" s="1632"/>
      <c r="EP417" s="1632"/>
      <c r="EQ417" s="1632"/>
      <c r="ER417" s="1632"/>
      <c r="ES417" s="1632"/>
      <c r="ET417" s="1632"/>
      <c r="EU417" s="1632"/>
      <c r="EV417" s="1632"/>
      <c r="EW417" s="1632"/>
      <c r="EX417" s="1632"/>
      <c r="EY417" s="1632"/>
      <c r="EZ417" s="1632"/>
      <c r="FA417" s="1632"/>
      <c r="FB417" s="1632"/>
      <c r="FC417" s="1632"/>
      <c r="FD417" s="1632"/>
      <c r="FE417" s="1632"/>
      <c r="FF417" s="1632"/>
      <c r="FG417" s="1632"/>
      <c r="FH417" s="1632"/>
      <c r="FI417" s="1632"/>
      <c r="FJ417" s="1632"/>
      <c r="FK417" s="1632"/>
      <c r="FL417" s="1632"/>
      <c r="FM417" s="1632"/>
    </row>
    <row r="418" spans="1:169" s="1888" customFormat="1" ht="15" hidden="1" customHeight="1">
      <c r="A418" s="1666"/>
      <c r="B418" s="3519"/>
      <c r="C418" s="3520" t="s">
        <v>937</v>
      </c>
      <c r="D418" s="3520"/>
      <c r="E418" s="1889">
        <f t="shared" si="94"/>
        <v>231500</v>
      </c>
      <c r="F418" s="1687">
        <f t="shared" si="94"/>
        <v>0</v>
      </c>
      <c r="G418" s="1863">
        <f t="shared" si="95"/>
        <v>0</v>
      </c>
      <c r="H418" s="1635">
        <f t="shared" si="96"/>
        <v>0</v>
      </c>
      <c r="I418" s="1636"/>
      <c r="J418" s="1636"/>
      <c r="K418" s="1636"/>
      <c r="L418" s="1636"/>
      <c r="M418" s="1636"/>
      <c r="N418" s="1636"/>
      <c r="O418" s="1636"/>
      <c r="P418" s="1636"/>
      <c r="Q418" s="1636"/>
      <c r="R418" s="1636"/>
      <c r="S418" s="1636"/>
      <c r="T418" s="1636"/>
      <c r="U418" s="1636"/>
      <c r="V418" s="1636"/>
      <c r="W418" s="1636"/>
      <c r="X418" s="1636"/>
      <c r="Y418" s="1636"/>
      <c r="Z418" s="1637"/>
      <c r="AA418" s="1637"/>
      <c r="AB418" s="1637"/>
      <c r="AC418" s="1636"/>
      <c r="AD418" s="1636"/>
      <c r="AE418" s="1637"/>
      <c r="AF418" s="1632"/>
      <c r="AG418" s="1632"/>
      <c r="AH418" s="1632"/>
      <c r="AI418" s="1632"/>
      <c r="AJ418" s="1632"/>
      <c r="AK418" s="1632"/>
      <c r="AL418" s="1632"/>
      <c r="AM418" s="1632"/>
      <c r="AN418" s="1632"/>
      <c r="AO418" s="1632"/>
      <c r="AP418" s="1632"/>
      <c r="AQ418" s="1632"/>
      <c r="AR418" s="1632"/>
      <c r="AS418" s="1632"/>
      <c r="AT418" s="1632"/>
      <c r="AU418" s="1632"/>
      <c r="AV418" s="1632"/>
      <c r="AW418" s="1632"/>
      <c r="AX418" s="1632"/>
      <c r="AY418" s="1632"/>
      <c r="AZ418" s="1632"/>
      <c r="BA418" s="1632"/>
      <c r="BB418" s="1632"/>
      <c r="BC418" s="1632"/>
      <c r="BD418" s="1632"/>
      <c r="BE418" s="1632"/>
      <c r="BF418" s="1632"/>
      <c r="BG418" s="1632"/>
      <c r="BH418" s="1632"/>
      <c r="BI418" s="1632"/>
      <c r="BJ418" s="1632"/>
      <c r="BK418" s="1632"/>
      <c r="BL418" s="1632"/>
      <c r="BM418" s="1632"/>
      <c r="BN418" s="1632"/>
      <c r="BO418" s="1632"/>
      <c r="BP418" s="1632"/>
      <c r="BQ418" s="1632"/>
      <c r="BR418" s="1632"/>
      <c r="BS418" s="1632"/>
      <c r="BT418" s="1632"/>
      <c r="BU418" s="1632"/>
      <c r="BV418" s="1632"/>
      <c r="BW418" s="1632"/>
      <c r="BX418" s="1632"/>
      <c r="BY418" s="1632"/>
      <c r="BZ418" s="1632"/>
      <c r="CA418" s="1632"/>
      <c r="CB418" s="1632"/>
      <c r="CC418" s="1632"/>
      <c r="CD418" s="1632"/>
      <c r="CE418" s="1632"/>
      <c r="CF418" s="1632"/>
      <c r="CG418" s="1632"/>
      <c r="CH418" s="1632"/>
      <c r="CI418" s="1632"/>
      <c r="CJ418" s="1632"/>
      <c r="CK418" s="1632"/>
      <c r="CL418" s="1632"/>
      <c r="CM418" s="1632"/>
      <c r="CN418" s="1632"/>
      <c r="CO418" s="1632"/>
      <c r="CP418" s="1632"/>
      <c r="CQ418" s="1632"/>
      <c r="CR418" s="1632"/>
      <c r="CS418" s="1632"/>
      <c r="CT418" s="1632"/>
      <c r="CU418" s="1632"/>
      <c r="CV418" s="1632"/>
      <c r="CW418" s="1632"/>
      <c r="CX418" s="1632"/>
      <c r="CY418" s="1632"/>
      <c r="CZ418" s="1632"/>
      <c r="DA418" s="1632"/>
      <c r="DB418" s="1632"/>
      <c r="DC418" s="1632"/>
      <c r="DD418" s="1632"/>
      <c r="DE418" s="1632"/>
      <c r="DF418" s="1632"/>
      <c r="DG418" s="1632"/>
      <c r="DH418" s="1632"/>
      <c r="DI418" s="1632"/>
      <c r="DJ418" s="1632"/>
      <c r="DK418" s="1632"/>
      <c r="DL418" s="1632"/>
      <c r="DM418" s="1632"/>
      <c r="DN418" s="1632"/>
      <c r="DO418" s="1632"/>
      <c r="DP418" s="1632"/>
      <c r="DQ418" s="1632"/>
      <c r="DR418" s="1632"/>
      <c r="DS418" s="1632"/>
      <c r="DT418" s="1632"/>
      <c r="DU418" s="1632"/>
      <c r="DV418" s="1632"/>
      <c r="DW418" s="1632"/>
      <c r="DX418" s="1632"/>
      <c r="DY418" s="1632"/>
      <c r="DZ418" s="1632"/>
      <c r="EA418" s="1632"/>
      <c r="EB418" s="1632"/>
      <c r="EC418" s="1632"/>
      <c r="ED418" s="1632"/>
      <c r="EE418" s="1632"/>
      <c r="EF418" s="1632"/>
      <c r="EG418" s="1632"/>
      <c r="EH418" s="1632"/>
      <c r="EI418" s="1632"/>
      <c r="EJ418" s="1632"/>
      <c r="EK418" s="1632"/>
      <c r="EL418" s="1632"/>
      <c r="EM418" s="1632"/>
      <c r="EN418" s="1632"/>
      <c r="EO418" s="1632"/>
      <c r="EP418" s="1632"/>
      <c r="EQ418" s="1632"/>
      <c r="ER418" s="1632"/>
      <c r="ES418" s="1632"/>
      <c r="ET418" s="1632"/>
      <c r="EU418" s="1632"/>
      <c r="EV418" s="1632"/>
      <c r="EW418" s="1632"/>
      <c r="EX418" s="1632"/>
      <c r="EY418" s="1632"/>
      <c r="EZ418" s="1632"/>
      <c r="FA418" s="1632"/>
      <c r="FB418" s="1632"/>
      <c r="FC418" s="1632"/>
      <c r="FD418" s="1632"/>
      <c r="FE418" s="1632"/>
      <c r="FF418" s="1632"/>
      <c r="FG418" s="1632"/>
      <c r="FH418" s="1632"/>
      <c r="FI418" s="1632"/>
      <c r="FJ418" s="1632"/>
      <c r="FK418" s="1632"/>
      <c r="FL418" s="1632"/>
      <c r="FM418" s="1632"/>
    </row>
    <row r="419" spans="1:169" s="1888" customFormat="1" ht="49.5" hidden="1" customHeight="1" thickBot="1">
      <c r="A419" s="1666"/>
      <c r="B419" s="3519"/>
      <c r="C419" s="1858" t="s">
        <v>938</v>
      </c>
      <c r="D419" s="1859" t="s">
        <v>939</v>
      </c>
      <c r="E419" s="1890">
        <v>231500</v>
      </c>
      <c r="F419" s="1694">
        <f>H419</f>
        <v>0</v>
      </c>
      <c r="G419" s="1695">
        <f t="shared" si="95"/>
        <v>0</v>
      </c>
      <c r="H419" s="1635">
        <f t="shared" si="96"/>
        <v>0</v>
      </c>
      <c r="I419" s="1636"/>
      <c r="J419" s="1636"/>
      <c r="K419" s="1636"/>
      <c r="L419" s="1636"/>
      <c r="M419" s="1636"/>
      <c r="N419" s="1636"/>
      <c r="O419" s="1636"/>
      <c r="P419" s="1636"/>
      <c r="Q419" s="1636"/>
      <c r="R419" s="1636"/>
      <c r="S419" s="1636"/>
      <c r="T419" s="1636"/>
      <c r="U419" s="1636"/>
      <c r="V419" s="1636"/>
      <c r="W419" s="1636"/>
      <c r="X419" s="1636"/>
      <c r="Y419" s="1636"/>
      <c r="Z419" s="1637"/>
      <c r="AA419" s="1637"/>
      <c r="AB419" s="1637"/>
      <c r="AC419" s="1636"/>
      <c r="AD419" s="1636"/>
      <c r="AE419" s="1637"/>
      <c r="AF419" s="1632"/>
      <c r="AG419" s="1632"/>
      <c r="AH419" s="1632"/>
      <c r="AI419" s="1632"/>
      <c r="AJ419" s="1632"/>
      <c r="AK419" s="1632"/>
      <c r="AL419" s="1632"/>
      <c r="AM419" s="1632"/>
      <c r="AN419" s="1632"/>
      <c r="AO419" s="1632"/>
      <c r="AP419" s="1632"/>
      <c r="AQ419" s="1632"/>
      <c r="AR419" s="1632"/>
      <c r="AS419" s="1632"/>
      <c r="AT419" s="1632"/>
      <c r="AU419" s="1632"/>
      <c r="AV419" s="1632"/>
      <c r="AW419" s="1632"/>
      <c r="AX419" s="1632"/>
      <c r="AY419" s="1632"/>
      <c r="AZ419" s="1632"/>
      <c r="BA419" s="1632"/>
      <c r="BB419" s="1632"/>
      <c r="BC419" s="1632"/>
      <c r="BD419" s="1632"/>
      <c r="BE419" s="1632"/>
      <c r="BF419" s="1632"/>
      <c r="BG419" s="1632"/>
      <c r="BH419" s="1632"/>
      <c r="BI419" s="1632"/>
      <c r="BJ419" s="1632"/>
      <c r="BK419" s="1632"/>
      <c r="BL419" s="1632"/>
      <c r="BM419" s="1632"/>
      <c r="BN419" s="1632"/>
      <c r="BO419" s="1632"/>
      <c r="BP419" s="1632"/>
      <c r="BQ419" s="1632"/>
      <c r="BR419" s="1632"/>
      <c r="BS419" s="1632"/>
      <c r="BT419" s="1632"/>
      <c r="BU419" s="1632"/>
      <c r="BV419" s="1632"/>
      <c r="BW419" s="1632"/>
      <c r="BX419" s="1632"/>
      <c r="BY419" s="1632"/>
      <c r="BZ419" s="1632"/>
      <c r="CA419" s="1632"/>
      <c r="CB419" s="1632"/>
      <c r="CC419" s="1632"/>
      <c r="CD419" s="1632"/>
      <c r="CE419" s="1632"/>
      <c r="CF419" s="1632"/>
      <c r="CG419" s="1632"/>
      <c r="CH419" s="1632"/>
      <c r="CI419" s="1632"/>
      <c r="CJ419" s="1632"/>
      <c r="CK419" s="1632"/>
      <c r="CL419" s="1632"/>
      <c r="CM419" s="1632"/>
      <c r="CN419" s="1632"/>
      <c r="CO419" s="1632"/>
      <c r="CP419" s="1632"/>
      <c r="CQ419" s="1632"/>
      <c r="CR419" s="1632"/>
      <c r="CS419" s="1632"/>
      <c r="CT419" s="1632"/>
      <c r="CU419" s="1632"/>
      <c r="CV419" s="1632"/>
      <c r="CW419" s="1632"/>
      <c r="CX419" s="1632"/>
      <c r="CY419" s="1632"/>
      <c r="CZ419" s="1632"/>
      <c r="DA419" s="1632"/>
      <c r="DB419" s="1632"/>
      <c r="DC419" s="1632"/>
      <c r="DD419" s="1632"/>
      <c r="DE419" s="1632"/>
      <c r="DF419" s="1632"/>
      <c r="DG419" s="1632"/>
      <c r="DH419" s="1632"/>
      <c r="DI419" s="1632"/>
      <c r="DJ419" s="1632"/>
      <c r="DK419" s="1632"/>
      <c r="DL419" s="1632"/>
      <c r="DM419" s="1632"/>
      <c r="DN419" s="1632"/>
      <c r="DO419" s="1632"/>
      <c r="DP419" s="1632"/>
      <c r="DQ419" s="1632"/>
      <c r="DR419" s="1632"/>
      <c r="DS419" s="1632"/>
      <c r="DT419" s="1632"/>
      <c r="DU419" s="1632"/>
      <c r="DV419" s="1632"/>
      <c r="DW419" s="1632"/>
      <c r="DX419" s="1632"/>
      <c r="DY419" s="1632"/>
      <c r="DZ419" s="1632"/>
      <c r="EA419" s="1632"/>
      <c r="EB419" s="1632"/>
      <c r="EC419" s="1632"/>
      <c r="ED419" s="1632"/>
      <c r="EE419" s="1632"/>
      <c r="EF419" s="1632"/>
      <c r="EG419" s="1632"/>
      <c r="EH419" s="1632"/>
      <c r="EI419" s="1632"/>
      <c r="EJ419" s="1632"/>
      <c r="EK419" s="1632"/>
      <c r="EL419" s="1632"/>
      <c r="EM419" s="1632"/>
      <c r="EN419" s="1632"/>
      <c r="EO419" s="1632"/>
      <c r="EP419" s="1632"/>
      <c r="EQ419" s="1632"/>
      <c r="ER419" s="1632"/>
      <c r="ES419" s="1632"/>
      <c r="ET419" s="1632"/>
      <c r="EU419" s="1632"/>
      <c r="EV419" s="1632"/>
      <c r="EW419" s="1632"/>
      <c r="EX419" s="1632"/>
      <c r="EY419" s="1632"/>
      <c r="EZ419" s="1632"/>
      <c r="FA419" s="1632"/>
      <c r="FB419" s="1632"/>
      <c r="FC419" s="1632"/>
      <c r="FD419" s="1632"/>
      <c r="FE419" s="1632"/>
      <c r="FF419" s="1632"/>
      <c r="FG419" s="1632"/>
      <c r="FH419" s="1632"/>
      <c r="FI419" s="1632"/>
      <c r="FJ419" s="1632"/>
      <c r="FK419" s="1632"/>
      <c r="FL419" s="1632"/>
      <c r="FM419" s="1632"/>
    </row>
    <row r="420" spans="1:169" ht="15" customHeight="1" thickBot="1">
      <c r="A420" s="1666"/>
      <c r="B420" s="1734" t="s">
        <v>140</v>
      </c>
      <c r="C420" s="1735"/>
      <c r="D420" s="1736" t="s">
        <v>141</v>
      </c>
      <c r="E420" s="1814">
        <f>E421</f>
        <v>79740</v>
      </c>
      <c r="F420" s="1814">
        <f t="shared" ref="F420:F422" si="97">F421</f>
        <v>1000000</v>
      </c>
      <c r="G420" s="1815">
        <f t="shared" si="95"/>
        <v>12.54075746175069</v>
      </c>
      <c r="H420" s="1635">
        <f t="shared" si="96"/>
        <v>0</v>
      </c>
    </row>
    <row r="421" spans="1:169" ht="14.25" customHeight="1">
      <c r="A421" s="1666"/>
      <c r="B421" s="1678"/>
      <c r="C421" s="3525" t="s">
        <v>810</v>
      </c>
      <c r="D421" s="3526"/>
      <c r="E421" s="1822">
        <f>E422</f>
        <v>79740</v>
      </c>
      <c r="F421" s="1822">
        <f t="shared" si="97"/>
        <v>1000000</v>
      </c>
      <c r="G421" s="1891">
        <f t="shared" si="95"/>
        <v>12.54075746175069</v>
      </c>
      <c r="H421" s="1635">
        <f t="shared" si="96"/>
        <v>0</v>
      </c>
    </row>
    <row r="422" spans="1:169" ht="16.5" customHeight="1">
      <c r="A422" s="1666"/>
      <c r="B422" s="1678"/>
      <c r="C422" s="3486" t="s">
        <v>937</v>
      </c>
      <c r="D422" s="3486"/>
      <c r="E422" s="1687">
        <f>E423</f>
        <v>79740</v>
      </c>
      <c r="F422" s="1687">
        <f t="shared" si="97"/>
        <v>1000000</v>
      </c>
      <c r="G422" s="1675">
        <f t="shared" si="95"/>
        <v>12.54075746175069</v>
      </c>
      <c r="H422" s="1635">
        <f t="shared" si="96"/>
        <v>0</v>
      </c>
    </row>
    <row r="423" spans="1:169" ht="66.75" customHeight="1" thickBot="1">
      <c r="A423" s="1666"/>
      <c r="B423" s="1678"/>
      <c r="C423" s="3123" t="s">
        <v>938</v>
      </c>
      <c r="D423" s="3103" t="s">
        <v>939</v>
      </c>
      <c r="E423" s="3087">
        <v>79740</v>
      </c>
      <c r="F423" s="3087">
        <f>H423</f>
        <v>1000000</v>
      </c>
      <c r="G423" s="1695">
        <f t="shared" si="95"/>
        <v>12.54075746175069</v>
      </c>
      <c r="H423" s="1635">
        <f t="shared" si="96"/>
        <v>1000000</v>
      </c>
      <c r="AA423" s="1637">
        <v>1000000</v>
      </c>
    </row>
    <row r="424" spans="1:169" ht="15.75" customHeight="1" thickBot="1">
      <c r="A424" s="1666"/>
      <c r="B424" s="1734" t="s">
        <v>942</v>
      </c>
      <c r="C424" s="1735"/>
      <c r="D424" s="1736" t="s">
        <v>943</v>
      </c>
      <c r="E424" s="1814">
        <f>E425</f>
        <v>0</v>
      </c>
      <c r="F424" s="1814">
        <f t="shared" ref="F424:F426" si="98">F425</f>
        <v>200000</v>
      </c>
      <c r="G424" s="1815" t="e">
        <f t="shared" si="95"/>
        <v>#DIV/0!</v>
      </c>
      <c r="H424" s="1635">
        <f t="shared" si="96"/>
        <v>0</v>
      </c>
    </row>
    <row r="425" spans="1:169" ht="13.5" customHeight="1">
      <c r="A425" s="1666"/>
      <c r="B425" s="1678"/>
      <c r="C425" s="3527" t="s">
        <v>810</v>
      </c>
      <c r="D425" s="3528"/>
      <c r="E425" s="1688">
        <f>E426</f>
        <v>0</v>
      </c>
      <c r="F425" s="1688">
        <f t="shared" si="98"/>
        <v>200000</v>
      </c>
      <c r="G425" s="1689" t="e">
        <f t="shared" si="95"/>
        <v>#DIV/0!</v>
      </c>
      <c r="H425" s="1635">
        <f t="shared" si="96"/>
        <v>0</v>
      </c>
    </row>
    <row r="426" spans="1:169" ht="13.5" customHeight="1">
      <c r="A426" s="1666"/>
      <c r="B426" s="1678"/>
      <c r="C426" s="3486" t="s">
        <v>937</v>
      </c>
      <c r="D426" s="3486"/>
      <c r="E426" s="1687">
        <f>E427</f>
        <v>0</v>
      </c>
      <c r="F426" s="1687">
        <f t="shared" si="98"/>
        <v>200000</v>
      </c>
      <c r="G426" s="1675" t="e">
        <f t="shared" si="95"/>
        <v>#DIV/0!</v>
      </c>
      <c r="H426" s="1635">
        <f t="shared" si="96"/>
        <v>0</v>
      </c>
    </row>
    <row r="427" spans="1:169" ht="21.75" customHeight="1" thickBot="1">
      <c r="A427" s="1666"/>
      <c r="B427" s="1678"/>
      <c r="C427" s="1743" t="s">
        <v>821</v>
      </c>
      <c r="D427" s="1746" t="s">
        <v>813</v>
      </c>
      <c r="E427" s="1694"/>
      <c r="F427" s="1694">
        <f>H427</f>
        <v>200000</v>
      </c>
      <c r="G427" s="1695" t="e">
        <f t="shared" si="95"/>
        <v>#DIV/0!</v>
      </c>
      <c r="H427" s="1635">
        <f t="shared" si="96"/>
        <v>200000</v>
      </c>
      <c r="AA427" s="1637">
        <v>200000</v>
      </c>
    </row>
    <row r="428" spans="1:169" ht="18" customHeight="1" thickBot="1">
      <c r="A428" s="1666"/>
      <c r="B428" s="1734" t="s">
        <v>944</v>
      </c>
      <c r="C428" s="1893"/>
      <c r="D428" s="1736" t="s">
        <v>867</v>
      </c>
      <c r="E428" s="1814">
        <f>E429+E437</f>
        <v>29041030</v>
      </c>
      <c r="F428" s="1814">
        <f>F429+F437</f>
        <v>78773155</v>
      </c>
      <c r="G428" s="1815">
        <f t="shared" si="95"/>
        <v>2.7124780009524456</v>
      </c>
      <c r="H428" s="1635">
        <f t="shared" si="96"/>
        <v>0</v>
      </c>
    </row>
    <row r="429" spans="1:169" ht="18" hidden="1" customHeight="1">
      <c r="A429" s="1666"/>
      <c r="B429" s="1864"/>
      <c r="C429" s="3529" t="s">
        <v>755</v>
      </c>
      <c r="D429" s="3530"/>
      <c r="E429" s="1894">
        <f>E430+E435</f>
        <v>0</v>
      </c>
      <c r="F429" s="1894">
        <f>F430+F435</f>
        <v>0</v>
      </c>
      <c r="G429" s="1895" t="e">
        <f t="shared" si="95"/>
        <v>#DIV/0!</v>
      </c>
      <c r="H429" s="1635">
        <f t="shared" si="96"/>
        <v>0</v>
      </c>
    </row>
    <row r="430" spans="1:169" ht="18" hidden="1" customHeight="1">
      <c r="A430" s="1666"/>
      <c r="B430" s="1896"/>
      <c r="C430" s="3531" t="s">
        <v>756</v>
      </c>
      <c r="D430" s="3532"/>
      <c r="E430" s="1868">
        <f>E432</f>
        <v>0</v>
      </c>
      <c r="F430" s="1868">
        <f>F432</f>
        <v>0</v>
      </c>
      <c r="G430" s="1895" t="e">
        <f t="shared" si="95"/>
        <v>#DIV/0!</v>
      </c>
      <c r="H430" s="1635">
        <f t="shared" si="96"/>
        <v>0</v>
      </c>
    </row>
    <row r="431" spans="1:169" ht="18" hidden="1" customHeight="1">
      <c r="A431" s="1666"/>
      <c r="B431" s="1867"/>
      <c r="C431" s="3533"/>
      <c r="D431" s="3533"/>
      <c r="E431" s="1897"/>
      <c r="F431" s="1897"/>
      <c r="G431" s="1895"/>
      <c r="H431" s="1635">
        <f t="shared" si="96"/>
        <v>0</v>
      </c>
    </row>
    <row r="432" spans="1:169" ht="18" hidden="1" customHeight="1">
      <c r="A432" s="1666"/>
      <c r="B432" s="1896"/>
      <c r="C432" s="3531" t="s">
        <v>770</v>
      </c>
      <c r="D432" s="3532"/>
      <c r="E432" s="1868">
        <f>E433</f>
        <v>0</v>
      </c>
      <c r="F432" s="1868">
        <f>F433</f>
        <v>0</v>
      </c>
      <c r="G432" s="1895" t="e">
        <f t="shared" si="95"/>
        <v>#DIV/0!</v>
      </c>
      <c r="H432" s="1635">
        <f t="shared" si="96"/>
        <v>0</v>
      </c>
    </row>
    <row r="433" spans="1:27" ht="18" hidden="1" customHeight="1">
      <c r="A433" s="1666"/>
      <c r="B433" s="1896"/>
      <c r="C433" s="1830" t="s">
        <v>779</v>
      </c>
      <c r="D433" s="1827" t="s">
        <v>780</v>
      </c>
      <c r="E433" s="1868"/>
      <c r="F433" s="1868">
        <f>H433</f>
        <v>0</v>
      </c>
      <c r="G433" s="1895" t="e">
        <f t="shared" si="95"/>
        <v>#DIV/0!</v>
      </c>
      <c r="H433" s="1635">
        <f t="shared" si="96"/>
        <v>0</v>
      </c>
    </row>
    <row r="434" spans="1:27" ht="18" hidden="1" customHeight="1">
      <c r="A434" s="1666"/>
      <c r="B434" s="1896"/>
      <c r="C434" s="1830"/>
      <c r="D434" s="1827"/>
      <c r="E434" s="1868"/>
      <c r="F434" s="1868"/>
      <c r="G434" s="1895"/>
      <c r="H434" s="1635">
        <f t="shared" si="96"/>
        <v>0</v>
      </c>
    </row>
    <row r="435" spans="1:27" ht="18" hidden="1" customHeight="1">
      <c r="A435" s="1666"/>
      <c r="B435" s="1867"/>
      <c r="C435" s="3534" t="s">
        <v>857</v>
      </c>
      <c r="D435" s="3535"/>
      <c r="E435" s="1868">
        <f t="shared" ref="E435:F435" si="99">E436</f>
        <v>0</v>
      </c>
      <c r="F435" s="1868">
        <f t="shared" si="99"/>
        <v>0</v>
      </c>
      <c r="G435" s="1898" t="e">
        <f t="shared" si="95"/>
        <v>#DIV/0!</v>
      </c>
      <c r="H435" s="1635">
        <f t="shared" si="96"/>
        <v>0</v>
      </c>
    </row>
    <row r="436" spans="1:27" ht="43.5" hidden="1" customHeight="1">
      <c r="A436" s="1666"/>
      <c r="B436" s="1867"/>
      <c r="C436" s="1899" t="s">
        <v>394</v>
      </c>
      <c r="D436" s="1900" t="s">
        <v>914</v>
      </c>
      <c r="E436" s="1868"/>
      <c r="F436" s="1868">
        <f>H436</f>
        <v>0</v>
      </c>
      <c r="G436" s="1898" t="e">
        <f t="shared" si="95"/>
        <v>#DIV/0!</v>
      </c>
      <c r="H436" s="1635">
        <f t="shared" si="96"/>
        <v>0</v>
      </c>
    </row>
    <row r="437" spans="1:27" ht="15.75" customHeight="1">
      <c r="A437" s="1666"/>
      <c r="B437" s="1678"/>
      <c r="C437" s="3536" t="s">
        <v>810</v>
      </c>
      <c r="D437" s="3536"/>
      <c r="E437" s="1822">
        <f>E438</f>
        <v>29041030</v>
      </c>
      <c r="F437" s="1822">
        <f t="shared" ref="F437" si="100">F438</f>
        <v>78773155</v>
      </c>
      <c r="G437" s="1901">
        <f t="shared" si="95"/>
        <v>2.7124780009524456</v>
      </c>
      <c r="H437" s="1635">
        <f t="shared" si="96"/>
        <v>0</v>
      </c>
    </row>
    <row r="438" spans="1:27" ht="15.75" customHeight="1">
      <c r="A438" s="1666"/>
      <c r="B438" s="1678"/>
      <c r="C438" s="3486" t="s">
        <v>937</v>
      </c>
      <c r="D438" s="3486"/>
      <c r="E438" s="1862">
        <f>E439+E440</f>
        <v>29041030</v>
      </c>
      <c r="F438" s="1862">
        <f>F439+F440</f>
        <v>78773155</v>
      </c>
      <c r="G438" s="1902">
        <f t="shared" si="95"/>
        <v>2.7124780009524456</v>
      </c>
      <c r="H438" s="1635">
        <f t="shared" si="96"/>
        <v>0</v>
      </c>
    </row>
    <row r="439" spans="1:27" ht="15.75" customHeight="1" thickBot="1">
      <c r="A439" s="1666"/>
      <c r="B439" s="1678"/>
      <c r="C439" s="1747" t="s">
        <v>821</v>
      </c>
      <c r="D439" s="1748" t="s">
        <v>813</v>
      </c>
      <c r="E439" s="1862">
        <v>29041030</v>
      </c>
      <c r="F439" s="1862">
        <f>H439</f>
        <v>78773155</v>
      </c>
      <c r="G439" s="1902">
        <f t="shared" si="95"/>
        <v>2.7124780009524456</v>
      </c>
      <c r="H439" s="1635">
        <f t="shared" si="96"/>
        <v>78773155</v>
      </c>
      <c r="AA439" s="1637">
        <v>78773155</v>
      </c>
    </row>
    <row r="440" spans="1:27" ht="42" hidden="1" customHeight="1" thickBot="1">
      <c r="A440" s="1666"/>
      <c r="B440" s="1793"/>
      <c r="C440" s="1747" t="s">
        <v>938</v>
      </c>
      <c r="D440" s="1748" t="s">
        <v>939</v>
      </c>
      <c r="E440" s="1694"/>
      <c r="F440" s="1862">
        <f>H440</f>
        <v>0</v>
      </c>
      <c r="G440" s="1903" t="e">
        <f t="shared" si="95"/>
        <v>#DIV/0!</v>
      </c>
      <c r="H440" s="1635">
        <f t="shared" si="96"/>
        <v>0</v>
      </c>
    </row>
    <row r="441" spans="1:27" ht="18.75" customHeight="1" thickBot="1">
      <c r="A441" s="1666"/>
      <c r="B441" s="1734" t="s">
        <v>35</v>
      </c>
      <c r="C441" s="1735"/>
      <c r="D441" s="1736" t="s">
        <v>11</v>
      </c>
      <c r="E441" s="1737">
        <f>E442+E458</f>
        <v>10720222</v>
      </c>
      <c r="F441" s="1737">
        <f t="shared" ref="F441" si="101">F442+F458</f>
        <v>795603</v>
      </c>
      <c r="G441" s="1738">
        <f t="shared" si="95"/>
        <v>7.4215160842751204E-2</v>
      </c>
      <c r="H441" s="1635">
        <f t="shared" si="96"/>
        <v>0</v>
      </c>
    </row>
    <row r="442" spans="1:27" ht="17.100000000000001" customHeight="1">
      <c r="A442" s="1666"/>
      <c r="B442" s="3467"/>
      <c r="C442" s="3472" t="s">
        <v>755</v>
      </c>
      <c r="D442" s="3472"/>
      <c r="E442" s="1672">
        <f>E443+E455</f>
        <v>720222</v>
      </c>
      <c r="F442" s="1672">
        <f t="shared" ref="F442" si="102">F443</f>
        <v>795603</v>
      </c>
      <c r="G442" s="1673">
        <f t="shared" si="95"/>
        <v>1.1046635620683622</v>
      </c>
      <c r="H442" s="1635">
        <f t="shared" si="96"/>
        <v>0</v>
      </c>
    </row>
    <row r="443" spans="1:27" ht="17.100000000000001" customHeight="1">
      <c r="A443" s="1666"/>
      <c r="B443" s="3467"/>
      <c r="C443" s="3537" t="s">
        <v>756</v>
      </c>
      <c r="D443" s="3537"/>
      <c r="E443" s="1904">
        <f>E444+E450</f>
        <v>708222</v>
      </c>
      <c r="F443" s="1904">
        <f t="shared" ref="F443" si="103">F444+F450</f>
        <v>795603</v>
      </c>
      <c r="G443" s="1905">
        <f t="shared" si="95"/>
        <v>1.1233808043240678</v>
      </c>
      <c r="H443" s="1635">
        <f t="shared" si="96"/>
        <v>0</v>
      </c>
    </row>
    <row r="444" spans="1:27" ht="17.100000000000001" customHeight="1">
      <c r="A444" s="1666"/>
      <c r="B444" s="3467"/>
      <c r="C444" s="3538" t="s">
        <v>757</v>
      </c>
      <c r="D444" s="3538"/>
      <c r="E444" s="1906">
        <f>SUM(E445:E448)</f>
        <v>548222</v>
      </c>
      <c r="F444" s="1906">
        <f>SUM(F445:F448)</f>
        <v>630603</v>
      </c>
      <c r="G444" s="1907">
        <f t="shared" si="95"/>
        <v>1.1502694164043035</v>
      </c>
      <c r="H444" s="1635">
        <f t="shared" si="96"/>
        <v>0</v>
      </c>
    </row>
    <row r="445" spans="1:27" ht="17.100000000000001" customHeight="1">
      <c r="A445" s="1666"/>
      <c r="B445" s="3467"/>
      <c r="C445" s="1908" t="s">
        <v>758</v>
      </c>
      <c r="D445" s="1909" t="s">
        <v>759</v>
      </c>
      <c r="E445" s="1904">
        <v>429670</v>
      </c>
      <c r="F445" s="1904">
        <f>H445</f>
        <v>491976</v>
      </c>
      <c r="G445" s="1905">
        <f t="shared" si="95"/>
        <v>1.1450089603649312</v>
      </c>
      <c r="H445" s="1635">
        <f t="shared" si="96"/>
        <v>491976</v>
      </c>
      <c r="I445" s="1636">
        <v>491976</v>
      </c>
    </row>
    <row r="446" spans="1:27" ht="17.100000000000001" customHeight="1">
      <c r="A446" s="1666"/>
      <c r="B446" s="3467"/>
      <c r="C446" s="1908" t="s">
        <v>760</v>
      </c>
      <c r="D446" s="1909" t="s">
        <v>761</v>
      </c>
      <c r="E446" s="1904">
        <v>33648</v>
      </c>
      <c r="F446" s="1904">
        <f t="shared" ref="F446:F448" si="104">H446</f>
        <v>35109</v>
      </c>
      <c r="G446" s="1905">
        <f t="shared" si="95"/>
        <v>1.043420114122682</v>
      </c>
      <c r="H446" s="1635">
        <f t="shared" si="96"/>
        <v>35109</v>
      </c>
      <c r="I446" s="1636">
        <v>35109</v>
      </c>
    </row>
    <row r="447" spans="1:27" ht="17.100000000000001" customHeight="1">
      <c r="A447" s="1666"/>
      <c r="B447" s="3467"/>
      <c r="C447" s="1908" t="s">
        <v>762</v>
      </c>
      <c r="D447" s="1909" t="s">
        <v>763</v>
      </c>
      <c r="E447" s="1904">
        <v>74912</v>
      </c>
      <c r="F447" s="1904">
        <f t="shared" si="104"/>
        <v>90602</v>
      </c>
      <c r="G447" s="1905">
        <f t="shared" si="95"/>
        <v>1.209445749679624</v>
      </c>
      <c r="H447" s="1635">
        <f t="shared" si="96"/>
        <v>90602</v>
      </c>
      <c r="I447" s="1636">
        <v>90602</v>
      </c>
    </row>
    <row r="448" spans="1:27">
      <c r="A448" s="1666"/>
      <c r="B448" s="3467"/>
      <c r="C448" s="1910" t="s">
        <v>764</v>
      </c>
      <c r="D448" s="1911" t="s">
        <v>1440</v>
      </c>
      <c r="E448" s="1904">
        <v>9992</v>
      </c>
      <c r="F448" s="1904">
        <f t="shared" si="104"/>
        <v>12916</v>
      </c>
      <c r="G448" s="1905">
        <f t="shared" si="95"/>
        <v>1.2926341072858287</v>
      </c>
      <c r="H448" s="1635">
        <f t="shared" si="96"/>
        <v>12916</v>
      </c>
      <c r="I448" s="1636">
        <v>12916</v>
      </c>
    </row>
    <row r="449" spans="1:27" ht="17.100000000000001" customHeight="1">
      <c r="A449" s="1666"/>
      <c r="B449" s="3467"/>
      <c r="C449" s="1912"/>
      <c r="D449" s="1912"/>
      <c r="E449" s="1904"/>
      <c r="F449" s="1904"/>
      <c r="G449" s="1905"/>
      <c r="H449" s="1635">
        <f t="shared" si="96"/>
        <v>0</v>
      </c>
    </row>
    <row r="450" spans="1:27" ht="17.100000000000001" customHeight="1">
      <c r="A450" s="1666"/>
      <c r="B450" s="3467"/>
      <c r="C450" s="3539" t="s">
        <v>770</v>
      </c>
      <c r="D450" s="3539"/>
      <c r="E450" s="1906">
        <f>SUM(E451:E453)</f>
        <v>160000</v>
      </c>
      <c r="F450" s="1906">
        <f>SUM(F451:F453)</f>
        <v>165000</v>
      </c>
      <c r="G450" s="1907">
        <f t="shared" si="95"/>
        <v>1.03125</v>
      </c>
      <c r="H450" s="1635">
        <f t="shared" si="96"/>
        <v>0</v>
      </c>
    </row>
    <row r="451" spans="1:27" ht="17.100000000000001" hidden="1" customHeight="1">
      <c r="A451" s="1666"/>
      <c r="B451" s="3467"/>
      <c r="C451" s="1910" t="s">
        <v>771</v>
      </c>
      <c r="D451" s="1913" t="s">
        <v>772</v>
      </c>
      <c r="E451" s="1914"/>
      <c r="F451" s="1914">
        <f>H451</f>
        <v>0</v>
      </c>
      <c r="G451" s="1915" t="e">
        <f t="shared" si="95"/>
        <v>#DIV/0!</v>
      </c>
      <c r="H451" s="1635">
        <f t="shared" si="96"/>
        <v>0</v>
      </c>
    </row>
    <row r="452" spans="1:27" ht="17.100000000000001" customHeight="1" thickBot="1">
      <c r="A452" s="1666"/>
      <c r="B452" s="3467"/>
      <c r="C452" s="1916" t="s">
        <v>783</v>
      </c>
      <c r="D452" s="1917" t="s">
        <v>784</v>
      </c>
      <c r="E452" s="1914">
        <v>160000</v>
      </c>
      <c r="F452" s="1914">
        <f t="shared" ref="F452:F453" si="105">H452</f>
        <v>165000</v>
      </c>
      <c r="G452" s="1915">
        <f t="shared" si="95"/>
        <v>1.03125</v>
      </c>
      <c r="H452" s="1635">
        <f t="shared" si="96"/>
        <v>165000</v>
      </c>
      <c r="AA452" s="1637">
        <v>165000</v>
      </c>
    </row>
    <row r="453" spans="1:27" ht="17.100000000000001" hidden="1" customHeight="1">
      <c r="A453" s="1666"/>
      <c r="B453" s="1698"/>
      <c r="C453" s="1778" t="s">
        <v>795</v>
      </c>
      <c r="D453" s="1918" t="s">
        <v>796</v>
      </c>
      <c r="E453" s="1862"/>
      <c r="F453" s="1862">
        <f t="shared" si="105"/>
        <v>0</v>
      </c>
      <c r="G453" s="1863"/>
      <c r="H453" s="1635">
        <f t="shared" si="96"/>
        <v>0</v>
      </c>
    </row>
    <row r="454" spans="1:27" ht="17.100000000000001" hidden="1" customHeight="1" thickBot="1">
      <c r="A454" s="1666"/>
      <c r="B454" s="1698"/>
      <c r="C454" s="1919"/>
      <c r="D454" s="1918"/>
      <c r="E454" s="1862"/>
      <c r="F454" s="1862"/>
      <c r="G454" s="1863"/>
    </row>
    <row r="455" spans="1:27" ht="17.100000000000001" hidden="1" customHeight="1">
      <c r="A455" s="1666"/>
      <c r="B455" s="1698"/>
      <c r="C455" s="3534" t="s">
        <v>857</v>
      </c>
      <c r="D455" s="3535"/>
      <c r="E455" s="1868">
        <f t="shared" ref="E455:F455" si="106">E456</f>
        <v>12000</v>
      </c>
      <c r="F455" s="1868">
        <f t="shared" si="106"/>
        <v>0</v>
      </c>
      <c r="G455" s="1863">
        <f t="shared" si="95"/>
        <v>0</v>
      </c>
    </row>
    <row r="456" spans="1:27" ht="27" hidden="1" customHeight="1">
      <c r="A456" s="1666"/>
      <c r="B456" s="1698"/>
      <c r="C456" s="1899" t="s">
        <v>394</v>
      </c>
      <c r="D456" s="1900" t="s">
        <v>914</v>
      </c>
      <c r="E456" s="1868">
        <v>12000</v>
      </c>
      <c r="F456" s="1868">
        <f>H456</f>
        <v>0</v>
      </c>
      <c r="G456" s="1863">
        <f t="shared" si="95"/>
        <v>0</v>
      </c>
      <c r="H456" s="1635">
        <f t="shared" si="96"/>
        <v>0</v>
      </c>
    </row>
    <row r="457" spans="1:27" ht="27" hidden="1" customHeight="1">
      <c r="A457" s="1666"/>
      <c r="B457" s="1698"/>
      <c r="C457" s="1920"/>
      <c r="D457" s="1900"/>
      <c r="E457" s="1868"/>
      <c r="F457" s="1868"/>
      <c r="G457" s="1863"/>
    </row>
    <row r="458" spans="1:27" ht="17.100000000000001" hidden="1" customHeight="1">
      <c r="A458" s="1666"/>
      <c r="B458" s="1698"/>
      <c r="C458" s="3546" t="s">
        <v>810</v>
      </c>
      <c r="D458" s="3547"/>
      <c r="E458" s="1803">
        <f>E459+E462</f>
        <v>10000000</v>
      </c>
      <c r="F458" s="1803">
        <f>F459+F462</f>
        <v>0</v>
      </c>
      <c r="G458" s="1804">
        <f t="shared" si="95"/>
        <v>0</v>
      </c>
      <c r="H458" s="1635">
        <f t="shared" si="96"/>
        <v>0</v>
      </c>
    </row>
    <row r="459" spans="1:27" ht="17.100000000000001" hidden="1" customHeight="1">
      <c r="A459" s="1666"/>
      <c r="B459" s="1698"/>
      <c r="C459" s="3486" t="s">
        <v>937</v>
      </c>
      <c r="D459" s="3486"/>
      <c r="E459" s="1687">
        <f>E460</f>
        <v>0</v>
      </c>
      <c r="F459" s="1687">
        <f t="shared" ref="F459" si="107">F460</f>
        <v>0</v>
      </c>
      <c r="G459" s="1675" t="e">
        <f t="shared" si="95"/>
        <v>#DIV/0!</v>
      </c>
      <c r="H459" s="1635">
        <f t="shared" si="96"/>
        <v>0</v>
      </c>
    </row>
    <row r="460" spans="1:27" ht="42.75" hidden="1" customHeight="1">
      <c r="A460" s="1666"/>
      <c r="B460" s="1698"/>
      <c r="C460" s="1747" t="s">
        <v>938</v>
      </c>
      <c r="D460" s="1748" t="s">
        <v>939</v>
      </c>
      <c r="E460" s="1688"/>
      <c r="F460" s="1688">
        <f>H460</f>
        <v>0</v>
      </c>
      <c r="G460" s="1689" t="e">
        <f t="shared" si="95"/>
        <v>#DIV/0!</v>
      </c>
      <c r="H460" s="1635">
        <f t="shared" si="96"/>
        <v>0</v>
      </c>
    </row>
    <row r="461" spans="1:27" ht="18" hidden="1" customHeight="1">
      <c r="A461" s="1666"/>
      <c r="B461" s="1698"/>
      <c r="C461" s="3548"/>
      <c r="D461" s="3549"/>
      <c r="E461" s="1687"/>
      <c r="F461" s="1687"/>
      <c r="G461" s="1675"/>
      <c r="H461" s="1635">
        <f t="shared" si="96"/>
        <v>0</v>
      </c>
    </row>
    <row r="462" spans="1:27" ht="18" hidden="1" customHeight="1">
      <c r="A462" s="1666"/>
      <c r="B462" s="1698"/>
      <c r="C462" s="3550" t="s">
        <v>945</v>
      </c>
      <c r="D462" s="3551"/>
      <c r="E462" s="1674">
        <f>E463</f>
        <v>10000000</v>
      </c>
      <c r="F462" s="1674">
        <f t="shared" ref="F462" si="108">F463</f>
        <v>0</v>
      </c>
      <c r="G462" s="1675">
        <f t="shared" ref="G462:G463" si="109">F462/E462</f>
        <v>0</v>
      </c>
      <c r="H462" s="1635">
        <f t="shared" si="96"/>
        <v>0</v>
      </c>
    </row>
    <row r="463" spans="1:27" ht="40.5" hidden="1" customHeight="1" thickBot="1">
      <c r="A463" s="1666"/>
      <c r="B463" s="1698"/>
      <c r="C463" s="1778" t="s">
        <v>946</v>
      </c>
      <c r="D463" s="1921" t="s">
        <v>947</v>
      </c>
      <c r="E463" s="1674">
        <v>10000000</v>
      </c>
      <c r="F463" s="1674">
        <f>H463</f>
        <v>0</v>
      </c>
      <c r="G463" s="1675">
        <f t="shared" si="109"/>
        <v>0</v>
      </c>
      <c r="H463" s="1635">
        <f t="shared" si="96"/>
        <v>0</v>
      </c>
    </row>
    <row r="464" spans="1:27" ht="17.100000000000001" customHeight="1" thickBot="1">
      <c r="A464" s="1660" t="s">
        <v>36</v>
      </c>
      <c r="B464" s="1765"/>
      <c r="C464" s="1766"/>
      <c r="D464" s="1767" t="s">
        <v>948</v>
      </c>
      <c r="E464" s="1768">
        <f>E465+E500</f>
        <v>5426971</v>
      </c>
      <c r="F464" s="1768">
        <f>F465+F500</f>
        <v>6044960</v>
      </c>
      <c r="G464" s="1769">
        <f t="shared" si="95"/>
        <v>1.113873650697599</v>
      </c>
      <c r="H464" s="1635">
        <f t="shared" si="96"/>
        <v>0</v>
      </c>
    </row>
    <row r="465" spans="1:28" ht="17.100000000000001" customHeight="1" thickBot="1">
      <c r="A465" s="1666"/>
      <c r="B465" s="1734" t="s">
        <v>92</v>
      </c>
      <c r="C465" s="1735"/>
      <c r="D465" s="1736" t="s">
        <v>433</v>
      </c>
      <c r="E465" s="1737">
        <f>E466+E497</f>
        <v>2333886</v>
      </c>
      <c r="F465" s="1737">
        <f>F466+F497</f>
        <v>2445100</v>
      </c>
      <c r="G465" s="1738">
        <f t="shared" si="95"/>
        <v>1.0476518561746375</v>
      </c>
      <c r="H465" s="1635">
        <f t="shared" si="96"/>
        <v>0</v>
      </c>
    </row>
    <row r="466" spans="1:28" ht="17.100000000000001" customHeight="1">
      <c r="A466" s="1666"/>
      <c r="B466" s="1678"/>
      <c r="C466" s="3472" t="s">
        <v>755</v>
      </c>
      <c r="D466" s="3472"/>
      <c r="E466" s="1672">
        <f>E467+E474+E477</f>
        <v>2333886</v>
      </c>
      <c r="F466" s="1672">
        <f>F467+F474+F477</f>
        <v>2445100</v>
      </c>
      <c r="G466" s="1673">
        <f t="shared" si="95"/>
        <v>1.0476518561746375</v>
      </c>
      <c r="H466" s="1635">
        <f t="shared" si="96"/>
        <v>0</v>
      </c>
    </row>
    <row r="467" spans="1:28" ht="17.100000000000001" customHeight="1">
      <c r="A467" s="1666"/>
      <c r="B467" s="1678"/>
      <c r="C467" s="3540" t="s">
        <v>756</v>
      </c>
      <c r="D467" s="3540"/>
      <c r="E467" s="1922">
        <f t="shared" ref="E467" si="110">E468</f>
        <v>960000</v>
      </c>
      <c r="F467" s="1922">
        <f>F468</f>
        <v>1019100</v>
      </c>
      <c r="G467" s="1923">
        <f t="shared" si="95"/>
        <v>1.0615625</v>
      </c>
      <c r="H467" s="1635">
        <f t="shared" si="96"/>
        <v>0</v>
      </c>
    </row>
    <row r="468" spans="1:28" ht="17.100000000000001" customHeight="1">
      <c r="A468" s="1666"/>
      <c r="B468" s="1678"/>
      <c r="C468" s="3541" t="s">
        <v>770</v>
      </c>
      <c r="D468" s="3541"/>
      <c r="E468" s="1924">
        <f>SUM(E469:E472)</f>
        <v>960000</v>
      </c>
      <c r="F468" s="1924">
        <f>SUM(F469:F472)</f>
        <v>1019100</v>
      </c>
      <c r="G468" s="1925">
        <f t="shared" si="95"/>
        <v>1.0615625</v>
      </c>
      <c r="H468" s="1635">
        <f t="shared" si="96"/>
        <v>0</v>
      </c>
    </row>
    <row r="469" spans="1:28" ht="17.100000000000001" customHeight="1">
      <c r="A469" s="1666"/>
      <c r="B469" s="1678"/>
      <c r="C469" s="1926" t="s">
        <v>773</v>
      </c>
      <c r="D469" s="1927" t="s">
        <v>774</v>
      </c>
      <c r="E469" s="1924">
        <v>80000</v>
      </c>
      <c r="F469" s="1924">
        <f>H469</f>
        <v>119100</v>
      </c>
      <c r="G469" s="1925">
        <f t="shared" si="95"/>
        <v>1.48875</v>
      </c>
      <c r="H469" s="1635">
        <f t="shared" si="96"/>
        <v>119100</v>
      </c>
      <c r="AB469" s="1637">
        <v>119100</v>
      </c>
    </row>
    <row r="470" spans="1:28" ht="17.100000000000001" customHeight="1">
      <c r="A470" s="1666"/>
      <c r="B470" s="1678"/>
      <c r="C470" s="1926" t="s">
        <v>783</v>
      </c>
      <c r="D470" s="1927" t="s">
        <v>784</v>
      </c>
      <c r="E470" s="1922">
        <v>307000</v>
      </c>
      <c r="F470" s="1924">
        <f t="shared" ref="F470:F472" si="111">H470</f>
        <v>400000</v>
      </c>
      <c r="G470" s="1925">
        <f t="shared" si="95"/>
        <v>1.3029315960912051</v>
      </c>
      <c r="H470" s="1635">
        <f t="shared" si="96"/>
        <v>400000</v>
      </c>
      <c r="AB470" s="1637">
        <v>400000</v>
      </c>
    </row>
    <row r="471" spans="1:28" ht="17.100000000000001" hidden="1" customHeight="1">
      <c r="A471" s="1666"/>
      <c r="B471" s="1678"/>
      <c r="C471" s="1926" t="s">
        <v>787</v>
      </c>
      <c r="D471" s="1927" t="s">
        <v>788</v>
      </c>
      <c r="E471" s="1922">
        <v>173000</v>
      </c>
      <c r="F471" s="1924">
        <f t="shared" si="111"/>
        <v>0</v>
      </c>
      <c r="G471" s="1925">
        <f t="shared" si="95"/>
        <v>0</v>
      </c>
      <c r="H471" s="1635">
        <f t="shared" si="96"/>
        <v>0</v>
      </c>
      <c r="AB471" s="1637">
        <v>0</v>
      </c>
    </row>
    <row r="472" spans="1:28" ht="17.100000000000001" customHeight="1">
      <c r="A472" s="1666"/>
      <c r="B472" s="1678"/>
      <c r="C472" s="1928" t="s">
        <v>793</v>
      </c>
      <c r="D472" s="1929" t="s">
        <v>794</v>
      </c>
      <c r="E472" s="1687">
        <v>400000</v>
      </c>
      <c r="F472" s="1713">
        <f t="shared" si="111"/>
        <v>500000</v>
      </c>
      <c r="G472" s="1675">
        <f t="shared" si="95"/>
        <v>1.25</v>
      </c>
      <c r="H472" s="1635">
        <f t="shared" si="96"/>
        <v>500000</v>
      </c>
      <c r="AB472" s="1637">
        <v>500000</v>
      </c>
    </row>
    <row r="473" spans="1:28" ht="17.100000000000001" customHeight="1">
      <c r="A473" s="1666"/>
      <c r="B473" s="1678"/>
      <c r="C473" s="1930"/>
      <c r="D473" s="1931"/>
      <c r="E473" s="1687"/>
      <c r="F473" s="1687"/>
      <c r="G473" s="1675"/>
      <c r="H473" s="1635">
        <f t="shared" si="96"/>
        <v>0</v>
      </c>
    </row>
    <row r="474" spans="1:28" ht="17.100000000000001" customHeight="1">
      <c r="A474" s="1666"/>
      <c r="B474" s="1678"/>
      <c r="C474" s="3486" t="s">
        <v>857</v>
      </c>
      <c r="D474" s="3486"/>
      <c r="E474" s="1749">
        <f t="shared" ref="E474:F474" si="112">E475</f>
        <v>1254146</v>
      </c>
      <c r="F474" s="1749">
        <f t="shared" si="112"/>
        <v>1426000</v>
      </c>
      <c r="G474" s="1750">
        <f t="shared" si="95"/>
        <v>1.1370287031972355</v>
      </c>
      <c r="H474" s="1635">
        <f t="shared" si="96"/>
        <v>0</v>
      </c>
    </row>
    <row r="475" spans="1:28" ht="52.5" customHeight="1" thickBot="1">
      <c r="A475" s="1666"/>
      <c r="B475" s="1678"/>
      <c r="C475" s="1928" t="s">
        <v>409</v>
      </c>
      <c r="D475" s="1929" t="s">
        <v>949</v>
      </c>
      <c r="E475" s="1687">
        <f>14146+1240000</f>
        <v>1254146</v>
      </c>
      <c r="F475" s="1687">
        <f>H475</f>
        <v>1426000</v>
      </c>
      <c r="G475" s="1675">
        <f t="shared" si="95"/>
        <v>1.1370287031972355</v>
      </c>
      <c r="H475" s="1635">
        <f t="shared" si="96"/>
        <v>1426000</v>
      </c>
      <c r="AB475" s="1637">
        <v>1426000</v>
      </c>
    </row>
    <row r="476" spans="1:28" ht="13.5" hidden="1" thickBot="1">
      <c r="A476" s="1666"/>
      <c r="B476" s="1678"/>
      <c r="C476" s="1932"/>
      <c r="D476" s="1933"/>
      <c r="E476" s="1934"/>
      <c r="F476" s="1687"/>
      <c r="G476" s="1675"/>
      <c r="H476" s="1635">
        <f t="shared" si="96"/>
        <v>0</v>
      </c>
    </row>
    <row r="477" spans="1:28" ht="18" hidden="1" customHeight="1">
      <c r="A477" s="1666"/>
      <c r="B477" s="1678"/>
      <c r="C477" s="3540" t="s">
        <v>825</v>
      </c>
      <c r="D477" s="3540"/>
      <c r="E477" s="1687">
        <f>SUM(E478:E495)</f>
        <v>119740</v>
      </c>
      <c r="F477" s="1687">
        <f>SUM(F478:F495)</f>
        <v>0</v>
      </c>
      <c r="G477" s="1675">
        <f t="shared" si="95"/>
        <v>0</v>
      </c>
      <c r="H477" s="1635">
        <f t="shared" si="96"/>
        <v>0</v>
      </c>
    </row>
    <row r="478" spans="1:28" ht="18" hidden="1" customHeight="1">
      <c r="A478" s="1666"/>
      <c r="B478" s="1678"/>
      <c r="C478" s="1935" t="s">
        <v>828</v>
      </c>
      <c r="D478" s="1936" t="s">
        <v>759</v>
      </c>
      <c r="E478" s="1687">
        <v>6907</v>
      </c>
      <c r="F478" s="1687">
        <f>H478</f>
        <v>0</v>
      </c>
      <c r="G478" s="1675">
        <f t="shared" si="95"/>
        <v>0</v>
      </c>
      <c r="H478" s="1635">
        <f t="shared" si="96"/>
        <v>0</v>
      </c>
    </row>
    <row r="479" spans="1:28" ht="18" hidden="1" customHeight="1">
      <c r="A479" s="1666"/>
      <c r="B479" s="1678"/>
      <c r="C479" s="1935" t="s">
        <v>829</v>
      </c>
      <c r="D479" s="1936" t="s">
        <v>759</v>
      </c>
      <c r="E479" s="1687">
        <v>1218</v>
      </c>
      <c r="F479" s="1687">
        <f t="shared" ref="F479:F495" si="113">H479</f>
        <v>0</v>
      </c>
      <c r="G479" s="1675">
        <f t="shared" si="95"/>
        <v>0</v>
      </c>
      <c r="H479" s="1635">
        <f t="shared" si="96"/>
        <v>0</v>
      </c>
    </row>
    <row r="480" spans="1:28" ht="18" hidden="1" customHeight="1">
      <c r="A480" s="1666"/>
      <c r="B480" s="1678"/>
      <c r="C480" s="1935" t="s">
        <v>832</v>
      </c>
      <c r="D480" s="1936" t="s">
        <v>763</v>
      </c>
      <c r="E480" s="1687">
        <v>1187</v>
      </c>
      <c r="F480" s="1687">
        <f t="shared" si="113"/>
        <v>0</v>
      </c>
      <c r="G480" s="1675">
        <f t="shared" si="95"/>
        <v>0</v>
      </c>
      <c r="H480" s="1635">
        <f t="shared" si="96"/>
        <v>0</v>
      </c>
    </row>
    <row r="481" spans="1:8" ht="18" hidden="1" customHeight="1">
      <c r="A481" s="1666"/>
      <c r="B481" s="1678"/>
      <c r="C481" s="1935" t="s">
        <v>833</v>
      </c>
      <c r="D481" s="1936" t="s">
        <v>763</v>
      </c>
      <c r="E481" s="1687">
        <v>210</v>
      </c>
      <c r="F481" s="1687">
        <f t="shared" si="113"/>
        <v>0</v>
      </c>
      <c r="G481" s="1675">
        <f t="shared" si="95"/>
        <v>0</v>
      </c>
      <c r="H481" s="1635">
        <f t="shared" si="96"/>
        <v>0</v>
      </c>
    </row>
    <row r="482" spans="1:8" ht="28.5" hidden="1" customHeight="1">
      <c r="A482" s="1666"/>
      <c r="B482" s="1678"/>
      <c r="C482" s="1935" t="s">
        <v>834</v>
      </c>
      <c r="D482" s="1936" t="s">
        <v>765</v>
      </c>
      <c r="E482" s="1687">
        <v>169</v>
      </c>
      <c r="F482" s="1687">
        <f t="shared" si="113"/>
        <v>0</v>
      </c>
      <c r="G482" s="1675">
        <f t="shared" si="95"/>
        <v>0</v>
      </c>
      <c r="H482" s="1635">
        <f t="shared" si="96"/>
        <v>0</v>
      </c>
    </row>
    <row r="483" spans="1:8" ht="28.5" hidden="1" customHeight="1">
      <c r="A483" s="1666"/>
      <c r="B483" s="1678"/>
      <c r="C483" s="1935" t="s">
        <v>835</v>
      </c>
      <c r="D483" s="1936" t="s">
        <v>765</v>
      </c>
      <c r="E483" s="1687">
        <v>30</v>
      </c>
      <c r="F483" s="1687">
        <f t="shared" si="113"/>
        <v>0</v>
      </c>
      <c r="G483" s="1675">
        <f t="shared" si="95"/>
        <v>0</v>
      </c>
      <c r="H483" s="1635">
        <f t="shared" si="96"/>
        <v>0</v>
      </c>
    </row>
    <row r="484" spans="1:8" ht="28.5" hidden="1" customHeight="1">
      <c r="A484" s="1666"/>
      <c r="B484" s="1678"/>
      <c r="C484" s="1935" t="s">
        <v>841</v>
      </c>
      <c r="D484" s="1937" t="s">
        <v>774</v>
      </c>
      <c r="E484" s="1687">
        <v>77082</v>
      </c>
      <c r="F484" s="1687">
        <f t="shared" si="113"/>
        <v>0</v>
      </c>
      <c r="G484" s="1675">
        <f t="shared" si="95"/>
        <v>0</v>
      </c>
      <c r="H484" s="1635">
        <f t="shared" si="96"/>
        <v>0</v>
      </c>
    </row>
    <row r="485" spans="1:8" ht="28.5" hidden="1" customHeight="1">
      <c r="A485" s="1666"/>
      <c r="B485" s="1678"/>
      <c r="C485" s="1935" t="s">
        <v>842</v>
      </c>
      <c r="D485" s="1937" t="s">
        <v>774</v>
      </c>
      <c r="E485" s="1687">
        <v>13603</v>
      </c>
      <c r="F485" s="1687">
        <f t="shared" si="113"/>
        <v>0</v>
      </c>
      <c r="G485" s="1675">
        <f t="shared" si="95"/>
        <v>0</v>
      </c>
      <c r="H485" s="1635">
        <f t="shared" si="96"/>
        <v>0</v>
      </c>
    </row>
    <row r="486" spans="1:8" ht="18" hidden="1" customHeight="1">
      <c r="A486" s="1666"/>
      <c r="B486" s="1678"/>
      <c r="C486" s="1935" t="s">
        <v>845</v>
      </c>
      <c r="D486" s="1936" t="s">
        <v>784</v>
      </c>
      <c r="E486" s="1687">
        <v>15370</v>
      </c>
      <c r="F486" s="1687">
        <f t="shared" si="113"/>
        <v>0</v>
      </c>
      <c r="G486" s="1675">
        <f t="shared" si="95"/>
        <v>0</v>
      </c>
      <c r="H486" s="1635">
        <f t="shared" si="96"/>
        <v>0</v>
      </c>
    </row>
    <row r="487" spans="1:8" ht="18" hidden="1" customHeight="1">
      <c r="A487" s="1666"/>
      <c r="B487" s="1678"/>
      <c r="C487" s="1935" t="s">
        <v>846</v>
      </c>
      <c r="D487" s="1936" t="s">
        <v>784</v>
      </c>
      <c r="E487" s="1687">
        <v>2713</v>
      </c>
      <c r="F487" s="1687">
        <f t="shared" si="113"/>
        <v>0</v>
      </c>
      <c r="G487" s="1675">
        <f t="shared" ref="G487:G586" si="114">F487/E487</f>
        <v>0</v>
      </c>
      <c r="H487" s="1635">
        <f t="shared" si="96"/>
        <v>0</v>
      </c>
    </row>
    <row r="488" spans="1:8" ht="18" hidden="1" customHeight="1">
      <c r="A488" s="1666"/>
      <c r="B488" s="1678"/>
      <c r="C488" s="1938" t="s">
        <v>950</v>
      </c>
      <c r="D488" s="1936" t="s">
        <v>951</v>
      </c>
      <c r="E488" s="1687"/>
      <c r="F488" s="1687">
        <f t="shared" si="113"/>
        <v>0</v>
      </c>
      <c r="G488" s="1675" t="e">
        <f t="shared" si="114"/>
        <v>#DIV/0!</v>
      </c>
      <c r="H488" s="1635">
        <f t="shared" ref="H488:H552" si="115">SUM(I488:AE488)</f>
        <v>0</v>
      </c>
    </row>
    <row r="489" spans="1:8" ht="18" hidden="1" customHeight="1">
      <c r="A489" s="1666"/>
      <c r="B489" s="1678"/>
      <c r="C489" s="1935" t="s">
        <v>952</v>
      </c>
      <c r="D489" s="1936" t="s">
        <v>951</v>
      </c>
      <c r="E489" s="1687"/>
      <c r="F489" s="1687">
        <f t="shared" si="113"/>
        <v>0</v>
      </c>
      <c r="G489" s="1675" t="e">
        <f t="shared" si="114"/>
        <v>#DIV/0!</v>
      </c>
      <c r="H489" s="1635">
        <f t="shared" si="115"/>
        <v>0</v>
      </c>
    </row>
    <row r="490" spans="1:8" ht="18" hidden="1" customHeight="1">
      <c r="A490" s="1666"/>
      <c r="B490" s="1678"/>
      <c r="C490" s="1935" t="s">
        <v>953</v>
      </c>
      <c r="D490" s="1936" t="s">
        <v>951</v>
      </c>
      <c r="E490" s="1687"/>
      <c r="F490" s="1687">
        <f t="shared" si="113"/>
        <v>0</v>
      </c>
      <c r="G490" s="1675" t="e">
        <f t="shared" si="114"/>
        <v>#DIV/0!</v>
      </c>
      <c r="H490" s="1635">
        <f t="shared" si="115"/>
        <v>0</v>
      </c>
    </row>
    <row r="491" spans="1:8" ht="18" hidden="1" customHeight="1">
      <c r="A491" s="1666"/>
      <c r="B491" s="1678"/>
      <c r="C491" s="1935" t="s">
        <v>848</v>
      </c>
      <c r="D491" s="1936" t="s">
        <v>788</v>
      </c>
      <c r="E491" s="1687"/>
      <c r="F491" s="1687">
        <f t="shared" si="113"/>
        <v>0</v>
      </c>
      <c r="G491" s="1675" t="e">
        <f t="shared" si="114"/>
        <v>#DIV/0!</v>
      </c>
      <c r="H491" s="1635">
        <f t="shared" si="115"/>
        <v>0</v>
      </c>
    </row>
    <row r="492" spans="1:8" ht="18" hidden="1" customHeight="1">
      <c r="A492" s="1666"/>
      <c r="B492" s="1678"/>
      <c r="C492" s="1935" t="s">
        <v>849</v>
      </c>
      <c r="D492" s="1936" t="s">
        <v>792</v>
      </c>
      <c r="E492" s="1687">
        <v>0</v>
      </c>
      <c r="F492" s="1687">
        <f t="shared" si="113"/>
        <v>0</v>
      </c>
      <c r="G492" s="1675" t="e">
        <f t="shared" si="114"/>
        <v>#DIV/0!</v>
      </c>
      <c r="H492" s="1635">
        <f t="shared" si="115"/>
        <v>0</v>
      </c>
    </row>
    <row r="493" spans="1:8" ht="18" hidden="1" customHeight="1">
      <c r="A493" s="1666"/>
      <c r="B493" s="1678"/>
      <c r="C493" s="1935" t="s">
        <v>850</v>
      </c>
      <c r="D493" s="1936" t="s">
        <v>792</v>
      </c>
      <c r="E493" s="1687">
        <v>0</v>
      </c>
      <c r="F493" s="1687">
        <f t="shared" si="113"/>
        <v>0</v>
      </c>
      <c r="G493" s="1675" t="e">
        <f t="shared" si="114"/>
        <v>#DIV/0!</v>
      </c>
      <c r="H493" s="1635">
        <f t="shared" si="115"/>
        <v>0</v>
      </c>
    </row>
    <row r="494" spans="1:8" ht="18" hidden="1" customHeight="1">
      <c r="A494" s="1666"/>
      <c r="B494" s="1678"/>
      <c r="C494" s="1935" t="s">
        <v>954</v>
      </c>
      <c r="D494" s="1936" t="s">
        <v>928</v>
      </c>
      <c r="E494" s="1687">
        <v>1064</v>
      </c>
      <c r="F494" s="1687">
        <f t="shared" si="113"/>
        <v>0</v>
      </c>
      <c r="G494" s="1675">
        <f t="shared" si="114"/>
        <v>0</v>
      </c>
      <c r="H494" s="1635">
        <f t="shared" si="115"/>
        <v>0</v>
      </c>
    </row>
    <row r="495" spans="1:8" ht="18" hidden="1" customHeight="1" thickBot="1">
      <c r="A495" s="1666"/>
      <c r="B495" s="1678"/>
      <c r="C495" s="1935" t="s">
        <v>955</v>
      </c>
      <c r="D495" s="1936" t="s">
        <v>928</v>
      </c>
      <c r="E495" s="1687">
        <v>187</v>
      </c>
      <c r="F495" s="1687">
        <f t="shared" si="113"/>
        <v>0</v>
      </c>
      <c r="G495" s="1675">
        <f t="shared" si="114"/>
        <v>0</v>
      </c>
      <c r="H495" s="1635">
        <f t="shared" si="115"/>
        <v>0</v>
      </c>
    </row>
    <row r="496" spans="1:8" ht="18" hidden="1" customHeight="1">
      <c r="A496" s="1666"/>
      <c r="B496" s="1678"/>
      <c r="C496" s="3542"/>
      <c r="D496" s="3543"/>
      <c r="E496" s="1687"/>
      <c r="F496" s="1939"/>
      <c r="G496" s="1675"/>
      <c r="H496" s="1635">
        <f t="shared" si="115"/>
        <v>0</v>
      </c>
    </row>
    <row r="497" spans="1:9" ht="16.5" hidden="1" customHeight="1">
      <c r="A497" s="1666"/>
      <c r="B497" s="1678"/>
      <c r="C497" s="3544" t="s">
        <v>810</v>
      </c>
      <c r="D497" s="3545"/>
      <c r="E497" s="1940">
        <f>E498</f>
        <v>0</v>
      </c>
      <c r="F497" s="1940">
        <f t="shared" ref="F497:F498" si="116">F498</f>
        <v>0</v>
      </c>
      <c r="G497" s="1941" t="e">
        <f t="shared" si="114"/>
        <v>#DIV/0!</v>
      </c>
      <c r="H497" s="1635">
        <f t="shared" si="115"/>
        <v>0</v>
      </c>
    </row>
    <row r="498" spans="1:9" ht="16.5" hidden="1" customHeight="1">
      <c r="A498" s="1666"/>
      <c r="B498" s="1678"/>
      <c r="C498" s="3486" t="s">
        <v>937</v>
      </c>
      <c r="D498" s="3486"/>
      <c r="E498" s="1687">
        <f>E499</f>
        <v>0</v>
      </c>
      <c r="F498" s="1687">
        <f t="shared" si="116"/>
        <v>0</v>
      </c>
      <c r="G498" s="1675" t="e">
        <f t="shared" si="114"/>
        <v>#DIV/0!</v>
      </c>
      <c r="H498" s="1635">
        <f t="shared" si="115"/>
        <v>0</v>
      </c>
    </row>
    <row r="499" spans="1:9" ht="39" hidden="1" thickBot="1">
      <c r="A499" s="1666"/>
      <c r="B499" s="1678"/>
      <c r="C499" s="1942" t="s">
        <v>938</v>
      </c>
      <c r="D499" s="1943" t="s">
        <v>939</v>
      </c>
      <c r="E499" s="1694"/>
      <c r="F499" s="1694">
        <f>H499</f>
        <v>0</v>
      </c>
      <c r="G499" s="1695" t="e">
        <f t="shared" si="114"/>
        <v>#DIV/0!</v>
      </c>
      <c r="H499" s="1635">
        <f t="shared" si="115"/>
        <v>0</v>
      </c>
    </row>
    <row r="500" spans="1:9" ht="17.100000000000001" customHeight="1" thickBot="1">
      <c r="A500" s="1666"/>
      <c r="B500" s="1734" t="s">
        <v>37</v>
      </c>
      <c r="C500" s="1735"/>
      <c r="D500" s="1736" t="s">
        <v>11</v>
      </c>
      <c r="E500" s="1737">
        <f>SUM(E501+E542)</f>
        <v>3093085</v>
      </c>
      <c r="F500" s="1737">
        <f>SUM(F501+F542)</f>
        <v>3599860</v>
      </c>
      <c r="G500" s="1738">
        <f t="shared" si="114"/>
        <v>1.163841278206063</v>
      </c>
      <c r="H500" s="1635">
        <f t="shared" si="115"/>
        <v>0</v>
      </c>
    </row>
    <row r="501" spans="1:9" ht="17.100000000000001" customHeight="1">
      <c r="A501" s="1666"/>
      <c r="B501" s="3175"/>
      <c r="C501" s="3556" t="s">
        <v>755</v>
      </c>
      <c r="D501" s="3557"/>
      <c r="E501" s="1894">
        <f>E502+E520+E523</f>
        <v>2681040</v>
      </c>
      <c r="F501" s="1894">
        <f>F502+F520+F523</f>
        <v>3599860</v>
      </c>
      <c r="G501" s="1944">
        <f t="shared" si="114"/>
        <v>1.3427102915286606</v>
      </c>
      <c r="H501" s="1635">
        <f t="shared" si="115"/>
        <v>0</v>
      </c>
    </row>
    <row r="502" spans="1:9" ht="16.5" customHeight="1">
      <c r="A502" s="1666"/>
      <c r="B502" s="3176"/>
      <c r="C502" s="3558" t="s">
        <v>756</v>
      </c>
      <c r="D502" s="3559"/>
      <c r="E502" s="1868">
        <f>E503+E511</f>
        <v>624540</v>
      </c>
      <c r="F502" s="1868">
        <f>F503+F511</f>
        <v>483151</v>
      </c>
      <c r="G502" s="1869">
        <f t="shared" si="114"/>
        <v>0.77361097767957221</v>
      </c>
      <c r="H502" s="1635">
        <f t="shared" si="115"/>
        <v>0</v>
      </c>
    </row>
    <row r="503" spans="1:9" ht="16.5" customHeight="1">
      <c r="A503" s="1666"/>
      <c r="B503" s="3176"/>
      <c r="C503" s="3560" t="s">
        <v>757</v>
      </c>
      <c r="D503" s="3560"/>
      <c r="E503" s="1713">
        <f>SUM(E504:E509)</f>
        <v>412540</v>
      </c>
      <c r="F503" s="1713">
        <f>SUM(F504:F509)</f>
        <v>473151</v>
      </c>
      <c r="G503" s="1714">
        <f t="shared" si="114"/>
        <v>1.1469215106413924</v>
      </c>
      <c r="H503" s="1635">
        <f t="shared" si="115"/>
        <v>0</v>
      </c>
    </row>
    <row r="504" spans="1:9" ht="16.5" customHeight="1">
      <c r="A504" s="1666"/>
      <c r="B504" s="3176"/>
      <c r="C504" s="1945" t="s">
        <v>758</v>
      </c>
      <c r="D504" s="1946" t="s">
        <v>759</v>
      </c>
      <c r="E504" s="1687">
        <v>321500</v>
      </c>
      <c r="F504" s="1687">
        <f>H504</f>
        <v>370849</v>
      </c>
      <c r="G504" s="1675">
        <f t="shared" si="114"/>
        <v>1.1534961119751166</v>
      </c>
      <c r="H504" s="1635">
        <f t="shared" si="115"/>
        <v>370849</v>
      </c>
      <c r="I504" s="1636">
        <v>370849</v>
      </c>
    </row>
    <row r="505" spans="1:9" ht="16.5" customHeight="1">
      <c r="A505" s="1666"/>
      <c r="B505" s="3176"/>
      <c r="C505" s="1945" t="s">
        <v>760</v>
      </c>
      <c r="D505" s="1946" t="s">
        <v>761</v>
      </c>
      <c r="E505" s="1687">
        <v>23776</v>
      </c>
      <c r="F505" s="1687">
        <f t="shared" ref="F505:F509" si="117">H505</f>
        <v>24692</v>
      </c>
      <c r="G505" s="1675">
        <f t="shared" si="114"/>
        <v>1.0385262449528936</v>
      </c>
      <c r="H505" s="1635">
        <f t="shared" si="115"/>
        <v>24692</v>
      </c>
      <c r="I505" s="1636">
        <v>24692</v>
      </c>
    </row>
    <row r="506" spans="1:9" ht="16.5" customHeight="1">
      <c r="A506" s="1666"/>
      <c r="B506" s="3176"/>
      <c r="C506" s="1945" t="s">
        <v>762</v>
      </c>
      <c r="D506" s="1946" t="s">
        <v>763</v>
      </c>
      <c r="E506" s="1687">
        <v>56947</v>
      </c>
      <c r="F506" s="1687">
        <f t="shared" si="117"/>
        <v>64420</v>
      </c>
      <c r="G506" s="1675">
        <f t="shared" si="114"/>
        <v>1.1312272815073665</v>
      </c>
      <c r="H506" s="1635">
        <f t="shared" si="115"/>
        <v>64420</v>
      </c>
      <c r="I506" s="1636">
        <v>64420</v>
      </c>
    </row>
    <row r="507" spans="1:9" ht="27.75" customHeight="1" thickBot="1">
      <c r="A507" s="1792"/>
      <c r="B507" s="3186"/>
      <c r="C507" s="3187" t="s">
        <v>764</v>
      </c>
      <c r="D507" s="3188" t="s">
        <v>1440</v>
      </c>
      <c r="E507" s="1694">
        <v>8117</v>
      </c>
      <c r="F507" s="1694">
        <f t="shared" si="117"/>
        <v>9690</v>
      </c>
      <c r="G507" s="1675">
        <f t="shared" si="114"/>
        <v>1.1937908094123444</v>
      </c>
      <c r="H507" s="1635">
        <f t="shared" si="115"/>
        <v>9690</v>
      </c>
      <c r="I507" s="1636">
        <v>9690</v>
      </c>
    </row>
    <row r="508" spans="1:9" ht="16.5" hidden="1" customHeight="1">
      <c r="A508" s="1666"/>
      <c r="B508" s="3176"/>
      <c r="C508" s="3185" t="s">
        <v>766</v>
      </c>
      <c r="D508" s="3180" t="s">
        <v>767</v>
      </c>
      <c r="E508" s="3078"/>
      <c r="F508" s="3078">
        <f t="shared" si="117"/>
        <v>0</v>
      </c>
      <c r="G508" s="1675" t="e">
        <f t="shared" si="114"/>
        <v>#DIV/0!</v>
      </c>
      <c r="H508" s="1635">
        <f t="shared" si="115"/>
        <v>0</v>
      </c>
    </row>
    <row r="509" spans="1:9" ht="16.5" customHeight="1">
      <c r="A509" s="1666"/>
      <c r="B509" s="3176"/>
      <c r="C509" s="1947" t="s">
        <v>768</v>
      </c>
      <c r="D509" s="1946" t="s">
        <v>769</v>
      </c>
      <c r="E509" s="1687">
        <v>2200</v>
      </c>
      <c r="F509" s="1687">
        <f t="shared" si="117"/>
        <v>3500</v>
      </c>
      <c r="G509" s="1675">
        <f t="shared" si="114"/>
        <v>1.5909090909090908</v>
      </c>
      <c r="H509" s="1635">
        <f t="shared" si="115"/>
        <v>3500</v>
      </c>
      <c r="I509" s="1636">
        <v>3500</v>
      </c>
    </row>
    <row r="510" spans="1:9" ht="16.5" customHeight="1">
      <c r="A510" s="1666"/>
      <c r="B510" s="3176"/>
      <c r="C510" s="3561"/>
      <c r="D510" s="3562"/>
      <c r="E510" s="1868"/>
      <c r="F510" s="1868"/>
      <c r="G510" s="1869"/>
      <c r="H510" s="1635">
        <f t="shared" si="115"/>
        <v>0</v>
      </c>
    </row>
    <row r="511" spans="1:9" ht="16.5" customHeight="1">
      <c r="A511" s="1666"/>
      <c r="B511" s="3176"/>
      <c r="C511" s="3563" t="s">
        <v>770</v>
      </c>
      <c r="D511" s="3514"/>
      <c r="E511" s="1868">
        <f>SUM(E512:E518)</f>
        <v>212000</v>
      </c>
      <c r="F511" s="1868">
        <f>SUM(F512:F518)</f>
        <v>10000</v>
      </c>
      <c r="G511" s="1869">
        <f t="shared" si="114"/>
        <v>4.716981132075472E-2</v>
      </c>
      <c r="H511" s="1635">
        <f t="shared" si="115"/>
        <v>0</v>
      </c>
    </row>
    <row r="512" spans="1:9" ht="16.5" hidden="1" customHeight="1">
      <c r="A512" s="1666"/>
      <c r="B512" s="3176"/>
      <c r="C512" s="1949" t="s">
        <v>771</v>
      </c>
      <c r="D512" s="1950" t="s">
        <v>772</v>
      </c>
      <c r="E512" s="1951"/>
      <c r="F512" s="1951">
        <f>H512</f>
        <v>0</v>
      </c>
      <c r="G512" s="1952" t="e">
        <f t="shared" si="114"/>
        <v>#DIV/0!</v>
      </c>
      <c r="H512" s="1635">
        <f t="shared" si="115"/>
        <v>0</v>
      </c>
      <c r="I512" s="1953"/>
    </row>
    <row r="513" spans="1:27" ht="14.25" customHeight="1">
      <c r="A513" s="1666"/>
      <c r="B513" s="3176"/>
      <c r="C513" s="3065" t="s">
        <v>783</v>
      </c>
      <c r="D513" s="3066" t="s">
        <v>784</v>
      </c>
      <c r="E513" s="3067">
        <f>10000+12000</f>
        <v>22000</v>
      </c>
      <c r="F513" s="3067">
        <f t="shared" ref="F513:F518" si="118">H513</f>
        <v>10000</v>
      </c>
      <c r="G513" s="1952">
        <f t="shared" si="114"/>
        <v>0.45454545454545453</v>
      </c>
      <c r="H513" s="1635">
        <f t="shared" si="115"/>
        <v>10000</v>
      </c>
      <c r="I513" s="1953"/>
      <c r="AA513" s="1637">
        <v>10000</v>
      </c>
    </row>
    <row r="514" spans="1:27" ht="14.25" hidden="1" customHeight="1">
      <c r="A514" s="1666"/>
      <c r="B514" s="1740"/>
      <c r="C514" s="3064" t="s">
        <v>787</v>
      </c>
      <c r="D514" s="2043" t="s">
        <v>788</v>
      </c>
      <c r="E514" s="2763">
        <v>190000</v>
      </c>
      <c r="F514" s="2763">
        <f t="shared" si="118"/>
        <v>0</v>
      </c>
      <c r="G514" s="1952"/>
      <c r="H514" s="1635">
        <f t="shared" si="115"/>
        <v>0</v>
      </c>
      <c r="I514" s="1953"/>
    </row>
    <row r="515" spans="1:27" ht="16.5" hidden="1" customHeight="1">
      <c r="A515" s="1666"/>
      <c r="B515" s="1740"/>
      <c r="C515" s="1955" t="s">
        <v>795</v>
      </c>
      <c r="D515" s="1954" t="s">
        <v>796</v>
      </c>
      <c r="E515" s="1951"/>
      <c r="F515" s="1951">
        <f t="shared" si="118"/>
        <v>0</v>
      </c>
      <c r="G515" s="1952" t="e">
        <f t="shared" si="114"/>
        <v>#DIV/0!</v>
      </c>
      <c r="H515" s="1635">
        <f t="shared" si="115"/>
        <v>0</v>
      </c>
      <c r="I515" s="1953"/>
    </row>
    <row r="516" spans="1:27" ht="17.25" hidden="1" customHeight="1">
      <c r="A516" s="1666"/>
      <c r="B516" s="1740"/>
      <c r="C516" s="1956" t="s">
        <v>912</v>
      </c>
      <c r="D516" s="1948" t="s">
        <v>913</v>
      </c>
      <c r="E516" s="1951">
        <v>0</v>
      </c>
      <c r="F516" s="1951">
        <f t="shared" si="118"/>
        <v>0</v>
      </c>
      <c r="G516" s="1952" t="e">
        <f t="shared" si="114"/>
        <v>#DIV/0!</v>
      </c>
      <c r="H516" s="1635">
        <f t="shared" si="115"/>
        <v>0</v>
      </c>
    </row>
    <row r="517" spans="1:27" ht="28.5" hidden="1" customHeight="1">
      <c r="A517" s="1666"/>
      <c r="B517" s="1740"/>
      <c r="C517" s="1957" t="s">
        <v>929</v>
      </c>
      <c r="D517" s="1948" t="s">
        <v>930</v>
      </c>
      <c r="E517" s="1951">
        <v>0</v>
      </c>
      <c r="F517" s="1951">
        <f t="shared" si="118"/>
        <v>0</v>
      </c>
      <c r="G517" s="1952" t="e">
        <f t="shared" si="114"/>
        <v>#DIV/0!</v>
      </c>
      <c r="H517" s="1635">
        <f t="shared" si="115"/>
        <v>0</v>
      </c>
    </row>
    <row r="518" spans="1:27" ht="21" hidden="1" customHeight="1">
      <c r="A518" s="1666"/>
      <c r="B518" s="1740"/>
      <c r="C518" s="1957" t="s">
        <v>874</v>
      </c>
      <c r="D518" s="1948" t="s">
        <v>875</v>
      </c>
      <c r="E518" s="1951">
        <v>0</v>
      </c>
      <c r="F518" s="1951">
        <f t="shared" si="118"/>
        <v>0</v>
      </c>
      <c r="G518" s="1952" t="e">
        <f t="shared" si="114"/>
        <v>#DIV/0!</v>
      </c>
      <c r="H518" s="1635">
        <f t="shared" si="115"/>
        <v>0</v>
      </c>
    </row>
    <row r="519" spans="1:27" ht="14.25" hidden="1" customHeight="1">
      <c r="A519" s="1666"/>
      <c r="B519" s="1740"/>
      <c r="C519" s="1958"/>
      <c r="D519" s="1959"/>
      <c r="E519" s="1951"/>
      <c r="F519" s="1951"/>
      <c r="G519" s="1952"/>
      <c r="H519" s="1635">
        <f t="shared" si="115"/>
        <v>0</v>
      </c>
    </row>
    <row r="520" spans="1:27" ht="16.5" hidden="1" customHeight="1">
      <c r="A520" s="1666"/>
      <c r="B520" s="1740"/>
      <c r="C520" s="3552" t="s">
        <v>857</v>
      </c>
      <c r="D520" s="3552"/>
      <c r="E520" s="1868">
        <f>E521</f>
        <v>8000</v>
      </c>
      <c r="F520" s="1868">
        <f t="shared" ref="F520" si="119">F521</f>
        <v>0</v>
      </c>
      <c r="G520" s="1869">
        <f t="shared" si="114"/>
        <v>0</v>
      </c>
      <c r="H520" s="1635">
        <f t="shared" si="115"/>
        <v>0</v>
      </c>
    </row>
    <row r="521" spans="1:27" ht="39.75" hidden="1" customHeight="1">
      <c r="A521" s="1666"/>
      <c r="B521" s="1740"/>
      <c r="C521" s="1945" t="s">
        <v>275</v>
      </c>
      <c r="D521" s="1946" t="s">
        <v>956</v>
      </c>
      <c r="E521" s="1951">
        <v>8000</v>
      </c>
      <c r="F521" s="1951">
        <f>H521</f>
        <v>0</v>
      </c>
      <c r="G521" s="1952">
        <f t="shared" si="114"/>
        <v>0</v>
      </c>
      <c r="H521" s="1635">
        <f t="shared" si="115"/>
        <v>0</v>
      </c>
    </row>
    <row r="522" spans="1:27" ht="21" customHeight="1" thickBot="1">
      <c r="A522" s="3182"/>
      <c r="B522" s="3179"/>
      <c r="C522" s="3068"/>
      <c r="D522" s="3069"/>
      <c r="E522" s="1970"/>
      <c r="F522" s="1970"/>
      <c r="G522" s="1952"/>
      <c r="H522" s="1635">
        <f t="shared" si="115"/>
        <v>0</v>
      </c>
    </row>
    <row r="523" spans="1:27" ht="18.75" customHeight="1">
      <c r="A523" s="1666"/>
      <c r="B523" s="1740"/>
      <c r="C523" s="3495" t="s">
        <v>825</v>
      </c>
      <c r="D523" s="3495"/>
      <c r="E523" s="2763">
        <f>SUM(E524:E540)</f>
        <v>2048500</v>
      </c>
      <c r="F523" s="2763">
        <f>SUM(F524:F540)</f>
        <v>3116709</v>
      </c>
      <c r="G523" s="1952">
        <f t="shared" si="114"/>
        <v>1.5214591164266535</v>
      </c>
      <c r="H523" s="1635">
        <f t="shared" si="115"/>
        <v>0</v>
      </c>
    </row>
    <row r="524" spans="1:27" ht="49.5" hidden="1" customHeight="1">
      <c r="A524" s="1666"/>
      <c r="B524" s="1740"/>
      <c r="C524" s="1962" t="s">
        <v>957</v>
      </c>
      <c r="D524" s="1963" t="s">
        <v>905</v>
      </c>
      <c r="E524" s="1951">
        <v>1690053</v>
      </c>
      <c r="F524" s="1951">
        <f>H524</f>
        <v>0</v>
      </c>
      <c r="G524" s="1952">
        <f t="shared" si="114"/>
        <v>0</v>
      </c>
      <c r="H524" s="1635">
        <f t="shared" si="115"/>
        <v>0</v>
      </c>
    </row>
    <row r="525" spans="1:27" ht="20.25" hidden="1" customHeight="1">
      <c r="A525" s="1666"/>
      <c r="B525" s="1740"/>
      <c r="C525" s="1846" t="s">
        <v>958</v>
      </c>
      <c r="D525" s="1847" t="s">
        <v>759</v>
      </c>
      <c r="E525" s="1951">
        <v>71046</v>
      </c>
      <c r="F525" s="1951">
        <f t="shared" ref="F525:F540" si="120">H525</f>
        <v>0</v>
      </c>
      <c r="G525" s="1952">
        <f t="shared" si="114"/>
        <v>0</v>
      </c>
      <c r="H525" s="1635">
        <f t="shared" si="115"/>
        <v>0</v>
      </c>
    </row>
    <row r="526" spans="1:27" ht="20.25" hidden="1" customHeight="1">
      <c r="A526" s="1666"/>
      <c r="B526" s="1740"/>
      <c r="C526" s="1846" t="s">
        <v>959</v>
      </c>
      <c r="D526" s="1847" t="s">
        <v>759</v>
      </c>
      <c r="E526" s="1951">
        <v>12538</v>
      </c>
      <c r="F526" s="1951">
        <f t="shared" si="120"/>
        <v>0</v>
      </c>
      <c r="G526" s="1952">
        <f t="shared" si="114"/>
        <v>0</v>
      </c>
      <c r="H526" s="1635">
        <f t="shared" si="115"/>
        <v>0</v>
      </c>
    </row>
    <row r="527" spans="1:27" ht="18.75" hidden="1" customHeight="1">
      <c r="A527" s="1666"/>
      <c r="B527" s="1740"/>
      <c r="C527" s="1846" t="s">
        <v>960</v>
      </c>
      <c r="D527" s="1847" t="s">
        <v>763</v>
      </c>
      <c r="E527" s="1951">
        <v>12213</v>
      </c>
      <c r="F527" s="1951">
        <f t="shared" si="120"/>
        <v>0</v>
      </c>
      <c r="G527" s="1952">
        <f t="shared" si="114"/>
        <v>0</v>
      </c>
      <c r="H527" s="1635">
        <f t="shared" si="115"/>
        <v>0</v>
      </c>
    </row>
    <row r="528" spans="1:27" ht="20.25" hidden="1" customHeight="1">
      <c r="A528" s="1666"/>
      <c r="B528" s="1740"/>
      <c r="C528" s="1778" t="s">
        <v>961</v>
      </c>
      <c r="D528" s="1964" t="s">
        <v>763</v>
      </c>
      <c r="E528" s="1951">
        <v>2155</v>
      </c>
      <c r="F528" s="1951">
        <f t="shared" si="120"/>
        <v>0</v>
      </c>
      <c r="G528" s="1952">
        <f t="shared" si="114"/>
        <v>0</v>
      </c>
      <c r="H528" s="1635">
        <f t="shared" si="115"/>
        <v>0</v>
      </c>
    </row>
    <row r="529" spans="1:24" ht="27.75" hidden="1" customHeight="1">
      <c r="A529" s="1666"/>
      <c r="B529" s="1740"/>
      <c r="C529" s="1778" t="s">
        <v>962</v>
      </c>
      <c r="D529" s="1964" t="s">
        <v>765</v>
      </c>
      <c r="E529" s="1951">
        <v>1741</v>
      </c>
      <c r="F529" s="1951">
        <f t="shared" si="120"/>
        <v>0</v>
      </c>
      <c r="G529" s="1952">
        <f t="shared" si="114"/>
        <v>0</v>
      </c>
      <c r="H529" s="1635">
        <f t="shared" si="115"/>
        <v>0</v>
      </c>
    </row>
    <row r="530" spans="1:24" ht="27" hidden="1" customHeight="1">
      <c r="A530" s="1666"/>
      <c r="B530" s="1740"/>
      <c r="C530" s="1778" t="s">
        <v>963</v>
      </c>
      <c r="D530" s="1964" t="s">
        <v>765</v>
      </c>
      <c r="E530" s="1951">
        <v>307</v>
      </c>
      <c r="F530" s="1951">
        <f t="shared" si="120"/>
        <v>0</v>
      </c>
      <c r="G530" s="1952">
        <f t="shared" si="114"/>
        <v>0</v>
      </c>
      <c r="H530" s="1635">
        <f t="shared" si="115"/>
        <v>0</v>
      </c>
    </row>
    <row r="531" spans="1:24" ht="18" hidden="1" customHeight="1">
      <c r="A531" s="1666"/>
      <c r="B531" s="1740"/>
      <c r="C531" s="1778" t="s">
        <v>964</v>
      </c>
      <c r="D531" s="1964" t="s">
        <v>774</v>
      </c>
      <c r="E531" s="1951">
        <v>20013</v>
      </c>
      <c r="F531" s="1951">
        <f t="shared" si="120"/>
        <v>0</v>
      </c>
      <c r="G531" s="1952">
        <f t="shared" si="114"/>
        <v>0</v>
      </c>
      <c r="H531" s="1635">
        <f t="shared" si="115"/>
        <v>0</v>
      </c>
    </row>
    <row r="532" spans="1:24" ht="18" hidden="1" customHeight="1">
      <c r="A532" s="1666"/>
      <c r="B532" s="1740"/>
      <c r="C532" s="1778" t="s">
        <v>965</v>
      </c>
      <c r="D532" s="1964" t="s">
        <v>774</v>
      </c>
      <c r="E532" s="1951">
        <v>3532</v>
      </c>
      <c r="F532" s="1951">
        <f t="shared" si="120"/>
        <v>0</v>
      </c>
      <c r="G532" s="1952">
        <f t="shared" si="114"/>
        <v>0</v>
      </c>
      <c r="H532" s="1635">
        <f t="shared" si="115"/>
        <v>0</v>
      </c>
    </row>
    <row r="533" spans="1:24" ht="18" customHeight="1">
      <c r="A533" s="1666"/>
      <c r="B533" s="1740"/>
      <c r="C533" s="1846" t="s">
        <v>966</v>
      </c>
      <c r="D533" s="1964" t="s">
        <v>784</v>
      </c>
      <c r="E533" s="1951">
        <v>177925</v>
      </c>
      <c r="F533" s="1951">
        <f>H533</f>
        <v>3030369</v>
      </c>
      <c r="G533" s="1952">
        <f t="shared" si="114"/>
        <v>17.031721230855698</v>
      </c>
      <c r="H533" s="1635">
        <f t="shared" si="115"/>
        <v>3030369</v>
      </c>
      <c r="X533" s="1636">
        <v>3030369</v>
      </c>
    </row>
    <row r="534" spans="1:24" ht="18" customHeight="1" thickBot="1">
      <c r="A534" s="1666"/>
      <c r="B534" s="1740"/>
      <c r="C534" s="1846" t="s">
        <v>967</v>
      </c>
      <c r="D534" s="1964" t="s">
        <v>784</v>
      </c>
      <c r="E534" s="1951">
        <v>31399</v>
      </c>
      <c r="F534" s="1951">
        <f t="shared" si="120"/>
        <v>86340</v>
      </c>
      <c r="G534" s="1952">
        <f t="shared" si="114"/>
        <v>2.7497691009267813</v>
      </c>
      <c r="H534" s="1635">
        <f t="shared" si="115"/>
        <v>86340</v>
      </c>
      <c r="X534" s="1636">
        <v>86340</v>
      </c>
    </row>
    <row r="535" spans="1:24" ht="18" hidden="1" customHeight="1">
      <c r="A535" s="1666"/>
      <c r="B535" s="1740"/>
      <c r="C535" s="1965" t="s">
        <v>968</v>
      </c>
      <c r="D535" s="1964" t="s">
        <v>951</v>
      </c>
      <c r="E535" s="1951">
        <v>1218</v>
      </c>
      <c r="F535" s="1951">
        <f t="shared" si="120"/>
        <v>0</v>
      </c>
      <c r="G535" s="1952">
        <f t="shared" si="114"/>
        <v>0</v>
      </c>
      <c r="H535" s="1635">
        <f t="shared" si="115"/>
        <v>0</v>
      </c>
    </row>
    <row r="536" spans="1:24" ht="18" hidden="1" customHeight="1">
      <c r="A536" s="1666"/>
      <c r="B536" s="1740"/>
      <c r="C536" s="1965" t="s">
        <v>969</v>
      </c>
      <c r="D536" s="1964" t="s">
        <v>951</v>
      </c>
      <c r="E536" s="1951">
        <v>215</v>
      </c>
      <c r="F536" s="1951">
        <f t="shared" si="120"/>
        <v>0</v>
      </c>
      <c r="G536" s="1952">
        <f t="shared" si="114"/>
        <v>0</v>
      </c>
      <c r="H536" s="1635">
        <f t="shared" si="115"/>
        <v>0</v>
      </c>
    </row>
    <row r="537" spans="1:24" ht="18.75" hidden="1" customHeight="1">
      <c r="A537" s="1666"/>
      <c r="B537" s="1740"/>
      <c r="C537" s="1846" t="s">
        <v>970</v>
      </c>
      <c r="D537" s="1964" t="s">
        <v>792</v>
      </c>
      <c r="E537" s="1951">
        <v>5483</v>
      </c>
      <c r="F537" s="1951">
        <f t="shared" si="120"/>
        <v>0</v>
      </c>
      <c r="G537" s="1952">
        <f t="shared" si="114"/>
        <v>0</v>
      </c>
      <c r="H537" s="1635">
        <f t="shared" si="115"/>
        <v>0</v>
      </c>
    </row>
    <row r="538" spans="1:24" ht="20.25" hidden="1" customHeight="1">
      <c r="A538" s="1666"/>
      <c r="B538" s="1740"/>
      <c r="C538" s="1846" t="s">
        <v>971</v>
      </c>
      <c r="D538" s="1964" t="s">
        <v>792</v>
      </c>
      <c r="E538" s="1951">
        <v>967</v>
      </c>
      <c r="F538" s="1951">
        <f t="shared" si="120"/>
        <v>0</v>
      </c>
      <c r="G538" s="1952">
        <f t="shared" si="114"/>
        <v>0</v>
      </c>
      <c r="H538" s="1635">
        <f t="shared" si="115"/>
        <v>0</v>
      </c>
    </row>
    <row r="539" spans="1:24" ht="19.5" hidden="1" customHeight="1">
      <c r="A539" s="1666"/>
      <c r="B539" s="1740"/>
      <c r="C539" s="1846" t="s">
        <v>972</v>
      </c>
      <c r="D539" s="1964" t="s">
        <v>928</v>
      </c>
      <c r="E539" s="1951">
        <v>15041</v>
      </c>
      <c r="F539" s="1951">
        <f t="shared" si="120"/>
        <v>0</v>
      </c>
      <c r="G539" s="1952">
        <f t="shared" si="114"/>
        <v>0</v>
      </c>
      <c r="H539" s="1635">
        <f t="shared" si="115"/>
        <v>0</v>
      </c>
    </row>
    <row r="540" spans="1:24" ht="18" hidden="1" customHeight="1">
      <c r="A540" s="1666"/>
      <c r="B540" s="1740"/>
      <c r="C540" s="1778" t="s">
        <v>973</v>
      </c>
      <c r="D540" s="1964" t="s">
        <v>928</v>
      </c>
      <c r="E540" s="1868">
        <v>2654</v>
      </c>
      <c r="F540" s="1951">
        <f t="shared" si="120"/>
        <v>0</v>
      </c>
      <c r="G540" s="1952">
        <f t="shared" si="114"/>
        <v>0</v>
      </c>
      <c r="H540" s="1635">
        <f t="shared" si="115"/>
        <v>0</v>
      </c>
    </row>
    <row r="541" spans="1:24" ht="16.5" hidden="1" customHeight="1">
      <c r="A541" s="1666"/>
      <c r="B541" s="1740"/>
      <c r="C541" s="1966"/>
      <c r="D541" s="1964"/>
      <c r="E541" s="1868"/>
      <c r="F541" s="1868"/>
      <c r="G541" s="1869"/>
      <c r="H541" s="1635">
        <f t="shared" si="115"/>
        <v>0</v>
      </c>
    </row>
    <row r="542" spans="1:24" ht="16.5" hidden="1" customHeight="1">
      <c r="A542" s="1666"/>
      <c r="B542" s="1740"/>
      <c r="C542" s="3544" t="s">
        <v>810</v>
      </c>
      <c r="D542" s="3545"/>
      <c r="E542" s="1897">
        <f>E543</f>
        <v>412045</v>
      </c>
      <c r="F542" s="1897">
        <f t="shared" ref="F542" si="121">F543</f>
        <v>0</v>
      </c>
      <c r="G542" s="1967">
        <f t="shared" si="114"/>
        <v>0</v>
      </c>
      <c r="H542" s="1635">
        <f t="shared" si="115"/>
        <v>0</v>
      </c>
    </row>
    <row r="543" spans="1:24" ht="16.5" hidden="1" customHeight="1">
      <c r="A543" s="1666"/>
      <c r="B543" s="1740"/>
      <c r="C543" s="3553" t="s">
        <v>937</v>
      </c>
      <c r="D543" s="3554"/>
      <c r="E543" s="1951">
        <f>SUM(E544:E545)</f>
        <v>412045</v>
      </c>
      <c r="F543" s="1951">
        <f>SUM(F544:F545)</f>
        <v>0</v>
      </c>
      <c r="G543" s="1952">
        <f t="shared" si="114"/>
        <v>0</v>
      </c>
      <c r="H543" s="1635">
        <f t="shared" si="115"/>
        <v>0</v>
      </c>
    </row>
    <row r="544" spans="1:24" ht="66" hidden="1" customHeight="1">
      <c r="A544" s="1666"/>
      <c r="B544" s="1740"/>
      <c r="C544" s="1968" t="s">
        <v>901</v>
      </c>
      <c r="D544" s="1969" t="s">
        <v>974</v>
      </c>
      <c r="E544" s="1951">
        <v>400045</v>
      </c>
      <c r="F544" s="1951">
        <f>H544</f>
        <v>0</v>
      </c>
      <c r="G544" s="1952">
        <f t="shared" si="114"/>
        <v>0</v>
      </c>
      <c r="H544" s="1635">
        <f t="shared" si="115"/>
        <v>0</v>
      </c>
    </row>
    <row r="545" spans="1:18" ht="39.75" hidden="1" customHeight="1" thickBot="1">
      <c r="A545" s="1666"/>
      <c r="B545" s="1740"/>
      <c r="C545" s="1942" t="s">
        <v>938</v>
      </c>
      <c r="D545" s="1813" t="s">
        <v>939</v>
      </c>
      <c r="E545" s="1970">
        <v>12000</v>
      </c>
      <c r="F545" s="1951">
        <f>H545</f>
        <v>0</v>
      </c>
      <c r="G545" s="1971">
        <f t="shared" si="114"/>
        <v>0</v>
      </c>
      <c r="H545" s="1635">
        <f t="shared" si="115"/>
        <v>0</v>
      </c>
    </row>
    <row r="546" spans="1:18" ht="17.100000000000001" customHeight="1" thickBot="1">
      <c r="A546" s="1660" t="s">
        <v>975</v>
      </c>
      <c r="B546" s="1661"/>
      <c r="C546" s="1662"/>
      <c r="D546" s="1663" t="s">
        <v>976</v>
      </c>
      <c r="E546" s="1664">
        <f>E547+E572</f>
        <v>2050258</v>
      </c>
      <c r="F546" s="1664">
        <f t="shared" ref="F546" si="122">F547+F572</f>
        <v>1296086</v>
      </c>
      <c r="G546" s="1665">
        <f t="shared" si="114"/>
        <v>0.6321575138348442</v>
      </c>
      <c r="H546" s="1635">
        <f t="shared" si="115"/>
        <v>0</v>
      </c>
    </row>
    <row r="547" spans="1:18" ht="17.100000000000001" customHeight="1" thickBot="1">
      <c r="A547" s="1666"/>
      <c r="B547" s="1734" t="s">
        <v>977</v>
      </c>
      <c r="C547" s="1735"/>
      <c r="D547" s="1736" t="s">
        <v>438</v>
      </c>
      <c r="E547" s="1737">
        <f>E548+E566</f>
        <v>1717626</v>
      </c>
      <c r="F547" s="1737">
        <f>F548+F566</f>
        <v>1296086</v>
      </c>
      <c r="G547" s="1738">
        <f t="shared" si="114"/>
        <v>0.75457986779426955</v>
      </c>
      <c r="H547" s="1635">
        <f t="shared" si="115"/>
        <v>0</v>
      </c>
    </row>
    <row r="548" spans="1:18" ht="17.100000000000001" customHeight="1">
      <c r="A548" s="1666"/>
      <c r="B548" s="1698"/>
      <c r="C548" s="3472" t="s">
        <v>755</v>
      </c>
      <c r="D548" s="3472"/>
      <c r="E548" s="1672">
        <f>E549+E563</f>
        <v>616295</v>
      </c>
      <c r="F548" s="1672">
        <f t="shared" ref="F548" si="123">F549+F563</f>
        <v>441050</v>
      </c>
      <c r="G548" s="1673">
        <f t="shared" si="114"/>
        <v>0.71564753892210708</v>
      </c>
      <c r="H548" s="1635">
        <f t="shared" si="115"/>
        <v>0</v>
      </c>
    </row>
    <row r="549" spans="1:18" ht="17.100000000000001" customHeight="1">
      <c r="A549" s="1666"/>
      <c r="B549" s="1698"/>
      <c r="C549" s="3555" t="s">
        <v>756</v>
      </c>
      <c r="D549" s="3555"/>
      <c r="E549" s="1687">
        <f>E551</f>
        <v>456400</v>
      </c>
      <c r="F549" s="1687">
        <f t="shared" ref="F549" si="124">F551</f>
        <v>441050</v>
      </c>
      <c r="G549" s="1675">
        <f t="shared" si="114"/>
        <v>0.96636722173531986</v>
      </c>
      <c r="H549" s="1635">
        <f t="shared" si="115"/>
        <v>0</v>
      </c>
    </row>
    <row r="550" spans="1:18" ht="17.100000000000001" customHeight="1">
      <c r="A550" s="1666"/>
      <c r="B550" s="1698"/>
      <c r="C550" s="1972"/>
      <c r="D550" s="1972"/>
      <c r="E550" s="1687"/>
      <c r="F550" s="1687"/>
      <c r="G550" s="1675"/>
      <c r="H550" s="1635">
        <f t="shared" si="115"/>
        <v>0</v>
      </c>
    </row>
    <row r="551" spans="1:18" ht="17.100000000000001" customHeight="1">
      <c r="A551" s="1666"/>
      <c r="B551" s="1698"/>
      <c r="C551" s="3569" t="s">
        <v>770</v>
      </c>
      <c r="D551" s="3569"/>
      <c r="E551" s="1713">
        <f>SUM(E552:E561)</f>
        <v>456400</v>
      </c>
      <c r="F551" s="1713">
        <f>SUM(F552:F561)</f>
        <v>441050</v>
      </c>
      <c r="G551" s="1714">
        <f t="shared" si="114"/>
        <v>0.96636722173531986</v>
      </c>
      <c r="H551" s="1635">
        <f t="shared" si="115"/>
        <v>0</v>
      </c>
    </row>
    <row r="552" spans="1:18" ht="17.100000000000001" customHeight="1">
      <c r="A552" s="1666"/>
      <c r="B552" s="1678"/>
      <c r="C552" s="1945" t="s">
        <v>773</v>
      </c>
      <c r="D552" s="1946" t="s">
        <v>774</v>
      </c>
      <c r="E552" s="1687">
        <v>10000</v>
      </c>
      <c r="F552" s="1687">
        <f>H552</f>
        <v>10000</v>
      </c>
      <c r="G552" s="1675">
        <f t="shared" si="114"/>
        <v>1</v>
      </c>
      <c r="H552" s="1635">
        <f t="shared" si="115"/>
        <v>10000</v>
      </c>
      <c r="R552" s="1636">
        <v>10000</v>
      </c>
    </row>
    <row r="553" spans="1:18" ht="17.100000000000001" customHeight="1">
      <c r="A553" s="1666"/>
      <c r="B553" s="1678"/>
      <c r="C553" s="1945" t="s">
        <v>777</v>
      </c>
      <c r="D553" s="1946" t="s">
        <v>778</v>
      </c>
      <c r="E553" s="1687">
        <v>50000</v>
      </c>
      <c r="F553" s="1687">
        <f t="shared" ref="F553:F561" si="125">H553</f>
        <v>25000</v>
      </c>
      <c r="G553" s="1675">
        <f t="shared" si="114"/>
        <v>0.5</v>
      </c>
      <c r="H553" s="1635">
        <f t="shared" ref="H553:H618" si="126">SUM(I553:AE553)</f>
        <v>25000</v>
      </c>
      <c r="R553" s="1636">
        <v>25000</v>
      </c>
    </row>
    <row r="554" spans="1:18" ht="17.100000000000001" customHeight="1">
      <c r="A554" s="1666"/>
      <c r="B554" s="1678"/>
      <c r="C554" s="1945" t="s">
        <v>779</v>
      </c>
      <c r="D554" s="1946" t="s">
        <v>780</v>
      </c>
      <c r="E554" s="1687">
        <v>95000</v>
      </c>
      <c r="F554" s="1687">
        <f t="shared" si="125"/>
        <v>95000</v>
      </c>
      <c r="G554" s="1675">
        <f t="shared" si="114"/>
        <v>1</v>
      </c>
      <c r="H554" s="1635">
        <f t="shared" si="126"/>
        <v>95000</v>
      </c>
      <c r="R554" s="1636">
        <v>95000</v>
      </c>
    </row>
    <row r="555" spans="1:18" ht="17.100000000000001" customHeight="1">
      <c r="A555" s="1666"/>
      <c r="B555" s="1678"/>
      <c r="C555" s="1945" t="s">
        <v>783</v>
      </c>
      <c r="D555" s="1946" t="s">
        <v>784</v>
      </c>
      <c r="E555" s="1687">
        <v>160361</v>
      </c>
      <c r="F555" s="1687">
        <f t="shared" si="125"/>
        <v>170000</v>
      </c>
      <c r="G555" s="1675">
        <f t="shared" si="114"/>
        <v>1.060108131029365</v>
      </c>
      <c r="H555" s="1635">
        <f t="shared" si="126"/>
        <v>170000</v>
      </c>
      <c r="R555" s="1636">
        <v>170000</v>
      </c>
    </row>
    <row r="556" spans="1:18" ht="17.100000000000001" hidden="1" customHeight="1">
      <c r="A556" s="1666"/>
      <c r="B556" s="1678"/>
      <c r="C556" s="1945" t="s">
        <v>793</v>
      </c>
      <c r="D556" s="1946" t="s">
        <v>794</v>
      </c>
      <c r="E556" s="1687"/>
      <c r="F556" s="1687">
        <f t="shared" si="125"/>
        <v>0</v>
      </c>
      <c r="G556" s="1675" t="e">
        <f>F556/E556</f>
        <v>#DIV/0!</v>
      </c>
      <c r="H556" s="1635">
        <f t="shared" si="126"/>
        <v>0</v>
      </c>
    </row>
    <row r="557" spans="1:18" ht="17.100000000000001" customHeight="1">
      <c r="A557" s="1666"/>
      <c r="B557" s="1678"/>
      <c r="C557" s="1945" t="s">
        <v>797</v>
      </c>
      <c r="D557" s="1946" t="s">
        <v>798</v>
      </c>
      <c r="E557" s="1687">
        <v>100000</v>
      </c>
      <c r="F557" s="1687">
        <f t="shared" si="125"/>
        <v>100000</v>
      </c>
      <c r="G557" s="1675">
        <f t="shared" si="114"/>
        <v>1</v>
      </c>
      <c r="H557" s="1635">
        <f t="shared" si="126"/>
        <v>100000</v>
      </c>
      <c r="R557" s="1636">
        <v>100000</v>
      </c>
    </row>
    <row r="558" spans="1:18" ht="17.100000000000001" customHeight="1">
      <c r="A558" s="1666"/>
      <c r="B558" s="1678"/>
      <c r="C558" s="1945" t="s">
        <v>801</v>
      </c>
      <c r="D558" s="1946" t="s">
        <v>802</v>
      </c>
      <c r="E558" s="1687">
        <v>1039</v>
      </c>
      <c r="F558" s="1687">
        <f t="shared" si="125"/>
        <v>1050</v>
      </c>
      <c r="G558" s="1675">
        <f t="shared" si="114"/>
        <v>1.0105871029836382</v>
      </c>
      <c r="H558" s="1635">
        <f t="shared" si="126"/>
        <v>1050</v>
      </c>
      <c r="R558" s="1636">
        <v>1050</v>
      </c>
    </row>
    <row r="559" spans="1:18" ht="17.100000000000001" hidden="1" customHeight="1">
      <c r="A559" s="1666"/>
      <c r="B559" s="1678"/>
      <c r="C559" s="1945" t="s">
        <v>803</v>
      </c>
      <c r="D559" s="1946" t="s">
        <v>804</v>
      </c>
      <c r="E559" s="1687"/>
      <c r="F559" s="1687">
        <f t="shared" si="125"/>
        <v>0</v>
      </c>
      <c r="G559" s="1675" t="e">
        <f t="shared" si="114"/>
        <v>#DIV/0!</v>
      </c>
      <c r="H559" s="1635">
        <f t="shared" si="126"/>
        <v>0</v>
      </c>
    </row>
    <row r="560" spans="1:18" ht="17.100000000000001" hidden="1" customHeight="1">
      <c r="A560" s="1666"/>
      <c r="B560" s="1678"/>
      <c r="C560" s="1973" t="s">
        <v>872</v>
      </c>
      <c r="D560" s="1946" t="s">
        <v>873</v>
      </c>
      <c r="E560" s="1687"/>
      <c r="F560" s="1687">
        <f t="shared" si="125"/>
        <v>0</v>
      </c>
      <c r="G560" s="1675" t="e">
        <f t="shared" si="114"/>
        <v>#DIV/0!</v>
      </c>
      <c r="H560" s="1635">
        <f t="shared" si="126"/>
        <v>0</v>
      </c>
    </row>
    <row r="561" spans="1:23" ht="17.100000000000001" customHeight="1">
      <c r="A561" s="1666"/>
      <c r="B561" s="1678"/>
      <c r="C561" s="1945" t="s">
        <v>874</v>
      </c>
      <c r="D561" s="1946" t="s">
        <v>875</v>
      </c>
      <c r="E561" s="1687">
        <v>40000</v>
      </c>
      <c r="F561" s="1687">
        <f t="shared" si="125"/>
        <v>40000</v>
      </c>
      <c r="G561" s="1675">
        <f t="shared" si="114"/>
        <v>1</v>
      </c>
      <c r="H561" s="1635">
        <f t="shared" si="126"/>
        <v>40000</v>
      </c>
      <c r="R561" s="1636">
        <v>40000</v>
      </c>
    </row>
    <row r="562" spans="1:23" ht="17.100000000000001" hidden="1" customHeight="1">
      <c r="A562" s="1666"/>
      <c r="B562" s="1678"/>
      <c r="C562" s="1960"/>
      <c r="D562" s="1961"/>
      <c r="E562" s="1688"/>
      <c r="F562" s="1687"/>
      <c r="G562" s="1689"/>
      <c r="H562" s="1635">
        <f t="shared" si="126"/>
        <v>0</v>
      </c>
    </row>
    <row r="563" spans="1:23" ht="17.100000000000001" hidden="1" customHeight="1">
      <c r="A563" s="1666"/>
      <c r="B563" s="1678"/>
      <c r="C563" s="3552" t="s">
        <v>857</v>
      </c>
      <c r="D563" s="3552"/>
      <c r="E563" s="1940">
        <f>E564</f>
        <v>159895</v>
      </c>
      <c r="F563" s="1940">
        <f t="shared" ref="F563" si="127">F564</f>
        <v>0</v>
      </c>
      <c r="G563" s="1941">
        <f t="shared" si="114"/>
        <v>0</v>
      </c>
      <c r="H563" s="1635">
        <f t="shared" si="126"/>
        <v>0</v>
      </c>
    </row>
    <row r="564" spans="1:23" ht="36.75" hidden="1" customHeight="1">
      <c r="A564" s="1666"/>
      <c r="B564" s="1678"/>
      <c r="C564" s="1945" t="s">
        <v>394</v>
      </c>
      <c r="D564" s="1946" t="s">
        <v>978</v>
      </c>
      <c r="E564" s="1687">
        <v>159895</v>
      </c>
      <c r="F564" s="1687">
        <f>H564</f>
        <v>0</v>
      </c>
      <c r="G564" s="1675">
        <f t="shared" si="114"/>
        <v>0</v>
      </c>
      <c r="H564" s="1635">
        <f t="shared" si="126"/>
        <v>0</v>
      </c>
    </row>
    <row r="565" spans="1:23" ht="17.100000000000001" customHeight="1">
      <c r="A565" s="1666"/>
      <c r="B565" s="1678"/>
      <c r="C565" s="1966"/>
      <c r="D565" s="1847"/>
      <c r="E565" s="1687"/>
      <c r="F565" s="1687"/>
      <c r="G565" s="1675"/>
      <c r="H565" s="1635">
        <f t="shared" si="126"/>
        <v>0</v>
      </c>
    </row>
    <row r="566" spans="1:23" ht="17.100000000000001" customHeight="1">
      <c r="A566" s="1666"/>
      <c r="B566" s="1678"/>
      <c r="C566" s="3564" t="s">
        <v>810</v>
      </c>
      <c r="D566" s="3565"/>
      <c r="E566" s="1974">
        <f>E567</f>
        <v>1101331</v>
      </c>
      <c r="F566" s="1974">
        <f t="shared" ref="F566" si="128">F567</f>
        <v>855036</v>
      </c>
      <c r="G566" s="1975">
        <f t="shared" si="114"/>
        <v>0.77636605162299077</v>
      </c>
      <c r="H566" s="1635">
        <f t="shared" si="126"/>
        <v>0</v>
      </c>
    </row>
    <row r="567" spans="1:23" ht="17.100000000000001" customHeight="1">
      <c r="A567" s="1666"/>
      <c r="B567" s="1678"/>
      <c r="C567" s="3486" t="s">
        <v>937</v>
      </c>
      <c r="D567" s="3486"/>
      <c r="E567" s="1976">
        <f>E568+E569+E571+E570</f>
        <v>1101331</v>
      </c>
      <c r="F567" s="1976">
        <f>F568+F569+F571+F570</f>
        <v>855036</v>
      </c>
      <c r="G567" s="1977">
        <f t="shared" si="114"/>
        <v>0.77636605162299077</v>
      </c>
      <c r="H567" s="1635">
        <f t="shared" si="126"/>
        <v>0</v>
      </c>
    </row>
    <row r="568" spans="1:23" ht="17.100000000000001" customHeight="1">
      <c r="A568" s="1666"/>
      <c r="B568" s="1678"/>
      <c r="C568" s="1978" t="s">
        <v>821</v>
      </c>
      <c r="D568" s="1979" t="s">
        <v>813</v>
      </c>
      <c r="E568" s="1976"/>
      <c r="F568" s="1976">
        <f>H568</f>
        <v>650000</v>
      </c>
      <c r="G568" s="1977"/>
      <c r="H568" s="1635">
        <f t="shared" si="126"/>
        <v>650000</v>
      </c>
      <c r="I568" s="1636">
        <v>650000</v>
      </c>
    </row>
    <row r="569" spans="1:23" ht="17.100000000000001" hidden="1" customHeight="1">
      <c r="A569" s="1666"/>
      <c r="B569" s="1678"/>
      <c r="C569" s="1980" t="s">
        <v>812</v>
      </c>
      <c r="D569" s="1979" t="s">
        <v>861</v>
      </c>
      <c r="E569" s="1687">
        <v>29000</v>
      </c>
      <c r="F569" s="1687">
        <f>H569</f>
        <v>0</v>
      </c>
      <c r="G569" s="1977">
        <f t="shared" si="114"/>
        <v>0</v>
      </c>
      <c r="H569" s="1635">
        <f t="shared" si="126"/>
        <v>0</v>
      </c>
    </row>
    <row r="570" spans="1:23" ht="55.5" customHeight="1" thickBot="1">
      <c r="A570" s="1666"/>
      <c r="B570" s="1678"/>
      <c r="C570" s="1981" t="s">
        <v>901</v>
      </c>
      <c r="D570" s="1982" t="s">
        <v>902</v>
      </c>
      <c r="E570" s="1976">
        <v>964331</v>
      </c>
      <c r="F570" s="1687">
        <f t="shared" ref="F570:F571" si="129">H570</f>
        <v>205036</v>
      </c>
      <c r="G570" s="1675">
        <f t="shared" si="114"/>
        <v>0.21261994066352735</v>
      </c>
      <c r="H570" s="1635">
        <f t="shared" si="126"/>
        <v>205036</v>
      </c>
      <c r="W570" s="1636">
        <v>205036</v>
      </c>
    </row>
    <row r="571" spans="1:23" ht="40.5" hidden="1" customHeight="1" thickBot="1">
      <c r="A571" s="1666"/>
      <c r="B571" s="1678"/>
      <c r="C571" s="1981" t="s">
        <v>938</v>
      </c>
      <c r="D571" s="1982" t="s">
        <v>939</v>
      </c>
      <c r="E571" s="1976">
        <v>108000</v>
      </c>
      <c r="F571" s="1687">
        <f t="shared" si="129"/>
        <v>0</v>
      </c>
      <c r="G571" s="1977">
        <f t="shared" si="114"/>
        <v>0</v>
      </c>
      <c r="H571" s="1635">
        <f t="shared" si="126"/>
        <v>0</v>
      </c>
    </row>
    <row r="572" spans="1:23" ht="17.25" hidden="1" customHeight="1" thickBot="1">
      <c r="A572" s="1666"/>
      <c r="B572" s="1734" t="s">
        <v>979</v>
      </c>
      <c r="C572" s="1735"/>
      <c r="D572" s="1736" t="s">
        <v>11</v>
      </c>
      <c r="E572" s="1737">
        <f>E573+E577</f>
        <v>332632</v>
      </c>
      <c r="F572" s="1737">
        <f>F573+F577</f>
        <v>0</v>
      </c>
      <c r="G572" s="1738">
        <f t="shared" si="114"/>
        <v>0</v>
      </c>
      <c r="H572" s="1635">
        <f t="shared" si="126"/>
        <v>0</v>
      </c>
    </row>
    <row r="573" spans="1:23" ht="17.25" hidden="1" customHeight="1">
      <c r="A573" s="1666"/>
      <c r="B573" s="1867"/>
      <c r="C573" s="3472" t="s">
        <v>755</v>
      </c>
      <c r="D573" s="3472"/>
      <c r="E573" s="1672">
        <f>E574</f>
        <v>27000</v>
      </c>
      <c r="F573" s="1672">
        <f>F574</f>
        <v>0</v>
      </c>
      <c r="G573" s="1673">
        <f t="shared" si="114"/>
        <v>0</v>
      </c>
      <c r="H573" s="1635">
        <f t="shared" si="126"/>
        <v>0</v>
      </c>
    </row>
    <row r="574" spans="1:23" ht="17.25" hidden="1" customHeight="1">
      <c r="A574" s="1666"/>
      <c r="B574" s="1867"/>
      <c r="C574" s="3570" t="s">
        <v>857</v>
      </c>
      <c r="D574" s="3570"/>
      <c r="E574" s="1976">
        <f>E575</f>
        <v>27000</v>
      </c>
      <c r="F574" s="1976">
        <f t="shared" ref="F574" si="130">F575</f>
        <v>0</v>
      </c>
      <c r="G574" s="1977">
        <f t="shared" si="114"/>
        <v>0</v>
      </c>
      <c r="H574" s="1635">
        <f t="shared" si="126"/>
        <v>0</v>
      </c>
    </row>
    <row r="575" spans="1:23" ht="25.5" hidden="1" customHeight="1">
      <c r="A575" s="1666"/>
      <c r="B575" s="1867"/>
      <c r="C575" s="1980" t="s">
        <v>394</v>
      </c>
      <c r="D575" s="1979" t="s">
        <v>978</v>
      </c>
      <c r="E575" s="1687">
        <v>27000</v>
      </c>
      <c r="F575" s="1687">
        <f>H575</f>
        <v>0</v>
      </c>
      <c r="G575" s="1675">
        <f t="shared" si="114"/>
        <v>0</v>
      </c>
      <c r="H575" s="1635">
        <f t="shared" si="126"/>
        <v>0</v>
      </c>
    </row>
    <row r="576" spans="1:23" ht="17.25" hidden="1" customHeight="1">
      <c r="A576" s="1666"/>
      <c r="B576" s="1867"/>
      <c r="C576" s="1960"/>
      <c r="D576" s="1961"/>
      <c r="E576" s="1687"/>
      <c r="F576" s="1687"/>
      <c r="G576" s="1675"/>
      <c r="H576" s="1635">
        <f t="shared" si="126"/>
        <v>0</v>
      </c>
    </row>
    <row r="577" spans="1:22" ht="13.5" hidden="1" customHeight="1">
      <c r="A577" s="1666"/>
      <c r="B577" s="1678"/>
      <c r="C577" s="3564" t="s">
        <v>810</v>
      </c>
      <c r="D577" s="3565"/>
      <c r="E577" s="1822">
        <f>E578</f>
        <v>305632</v>
      </c>
      <c r="F577" s="1822">
        <f t="shared" ref="F577" si="131">F578</f>
        <v>0</v>
      </c>
      <c r="G577" s="1891">
        <f t="shared" si="114"/>
        <v>0</v>
      </c>
      <c r="H577" s="1635">
        <f t="shared" si="126"/>
        <v>0</v>
      </c>
    </row>
    <row r="578" spans="1:22" ht="16.5" hidden="1" customHeight="1">
      <c r="A578" s="1666"/>
      <c r="B578" s="1678"/>
      <c r="C578" s="3486" t="s">
        <v>937</v>
      </c>
      <c r="D578" s="3486"/>
      <c r="E578" s="1976">
        <f>E579+E580</f>
        <v>305632</v>
      </c>
      <c r="F578" s="1976">
        <f>F579+F580</f>
        <v>0</v>
      </c>
      <c r="G578" s="1977">
        <f t="shared" si="114"/>
        <v>0</v>
      </c>
      <c r="H578" s="1635">
        <f t="shared" si="126"/>
        <v>0</v>
      </c>
    </row>
    <row r="579" spans="1:22" ht="55.5" hidden="1" customHeight="1">
      <c r="A579" s="1666"/>
      <c r="B579" s="1678"/>
      <c r="C579" s="1983" t="s">
        <v>901</v>
      </c>
      <c r="D579" s="1961" t="s">
        <v>902</v>
      </c>
      <c r="E579" s="1976">
        <v>269632</v>
      </c>
      <c r="F579" s="1976">
        <f>H579</f>
        <v>0</v>
      </c>
      <c r="G579" s="1977">
        <f t="shared" si="114"/>
        <v>0</v>
      </c>
      <c r="H579" s="1635">
        <f t="shared" si="126"/>
        <v>0</v>
      </c>
    </row>
    <row r="580" spans="1:22" ht="46.5" hidden="1" customHeight="1" thickBot="1">
      <c r="A580" s="1666"/>
      <c r="B580" s="1793"/>
      <c r="C580" s="1981" t="s">
        <v>938</v>
      </c>
      <c r="D580" s="1982" t="s">
        <v>939</v>
      </c>
      <c r="E580" s="1694">
        <v>36000</v>
      </c>
      <c r="F580" s="1976">
        <f>H580</f>
        <v>0</v>
      </c>
      <c r="G580" s="1695">
        <f t="shared" si="114"/>
        <v>0</v>
      </c>
      <c r="H580" s="1635">
        <f t="shared" si="126"/>
        <v>0</v>
      </c>
    </row>
    <row r="581" spans="1:22" ht="17.100000000000001" customHeight="1" thickBot="1">
      <c r="A581" s="1660" t="s">
        <v>38</v>
      </c>
      <c r="B581" s="1765"/>
      <c r="C581" s="1766"/>
      <c r="D581" s="1767" t="s">
        <v>980</v>
      </c>
      <c r="E581" s="1768">
        <f>SUM(E582,E618,E657)</f>
        <v>35083241</v>
      </c>
      <c r="F581" s="1768">
        <f>SUM(F582,F618,F657)</f>
        <v>8883627</v>
      </c>
      <c r="G581" s="1769">
        <f t="shared" si="114"/>
        <v>0.2532156877980572</v>
      </c>
      <c r="H581" s="1635">
        <f t="shared" si="126"/>
        <v>0</v>
      </c>
      <c r="I581" s="1984"/>
    </row>
    <row r="582" spans="1:22" ht="17.100000000000001" customHeight="1" thickBot="1">
      <c r="A582" s="1666"/>
      <c r="B582" s="1734" t="s">
        <v>981</v>
      </c>
      <c r="C582" s="1735"/>
      <c r="D582" s="1736" t="s">
        <v>450</v>
      </c>
      <c r="E582" s="1737">
        <f>E583+E615</f>
        <v>3965710</v>
      </c>
      <c r="F582" s="1737">
        <f>F583+F615</f>
        <v>4044710</v>
      </c>
      <c r="G582" s="1738">
        <f t="shared" si="114"/>
        <v>1.0199207708077493</v>
      </c>
      <c r="H582" s="1635">
        <f t="shared" si="126"/>
        <v>0</v>
      </c>
    </row>
    <row r="583" spans="1:22" ht="17.100000000000001" customHeight="1">
      <c r="A583" s="1666"/>
      <c r="B583" s="1678"/>
      <c r="C583" s="3472" t="s">
        <v>755</v>
      </c>
      <c r="D583" s="3472"/>
      <c r="E583" s="1672">
        <f>E584+E612</f>
        <v>3965710</v>
      </c>
      <c r="F583" s="1672">
        <f>F584+F612</f>
        <v>4044710</v>
      </c>
      <c r="G583" s="1673">
        <f t="shared" si="114"/>
        <v>1.0199207708077493</v>
      </c>
      <c r="H583" s="1635">
        <f t="shared" si="126"/>
        <v>0</v>
      </c>
    </row>
    <row r="584" spans="1:22" ht="17.100000000000001" customHeight="1">
      <c r="A584" s="1666"/>
      <c r="B584" s="1678"/>
      <c r="C584" s="3566" t="s">
        <v>756</v>
      </c>
      <c r="D584" s="3566"/>
      <c r="E584" s="1687">
        <f>E585+E593</f>
        <v>3957610</v>
      </c>
      <c r="F584" s="1687">
        <f>F585+F593</f>
        <v>4037010</v>
      </c>
      <c r="G584" s="1675">
        <f t="shared" si="114"/>
        <v>1.020062613547065</v>
      </c>
      <c r="H584" s="1635">
        <f t="shared" si="126"/>
        <v>0</v>
      </c>
    </row>
    <row r="585" spans="1:22" ht="17.100000000000001" customHeight="1">
      <c r="A585" s="1666"/>
      <c r="B585" s="1678"/>
      <c r="C585" s="3567" t="s">
        <v>757</v>
      </c>
      <c r="D585" s="3567"/>
      <c r="E585" s="1713">
        <f>SUM(E586:E591)</f>
        <v>3410120</v>
      </c>
      <c r="F585" s="1713">
        <f>SUM(F586:F591)</f>
        <v>3472460</v>
      </c>
      <c r="G585" s="1714">
        <f t="shared" si="114"/>
        <v>1.0182808816112043</v>
      </c>
      <c r="H585" s="1635">
        <f t="shared" si="126"/>
        <v>0</v>
      </c>
    </row>
    <row r="586" spans="1:22" ht="17.100000000000001" customHeight="1">
      <c r="A586" s="1666"/>
      <c r="B586" s="1678"/>
      <c r="C586" s="1980" t="s">
        <v>758</v>
      </c>
      <c r="D586" s="1979" t="s">
        <v>759</v>
      </c>
      <c r="E586" s="1687">
        <v>2655050</v>
      </c>
      <c r="F586" s="1687">
        <f>H586</f>
        <v>2703000</v>
      </c>
      <c r="G586" s="1675">
        <f t="shared" si="114"/>
        <v>1.0180599235419294</v>
      </c>
      <c r="H586" s="1635">
        <f t="shared" si="126"/>
        <v>2703000</v>
      </c>
      <c r="V586" s="1636">
        <v>2703000</v>
      </c>
    </row>
    <row r="587" spans="1:22" ht="17.100000000000001" customHeight="1">
      <c r="A587" s="1666"/>
      <c r="B587" s="1678"/>
      <c r="C587" s="1980" t="s">
        <v>760</v>
      </c>
      <c r="D587" s="1979" t="s">
        <v>761</v>
      </c>
      <c r="E587" s="1687">
        <v>221970</v>
      </c>
      <c r="F587" s="1687">
        <f t="shared" ref="F587:F591" si="132">H587</f>
        <v>212000</v>
      </c>
      <c r="G587" s="1675">
        <f t="shared" ref="G587:G645" si="133">F587/E587</f>
        <v>0.95508402036311213</v>
      </c>
      <c r="H587" s="1635">
        <f t="shared" si="126"/>
        <v>212000</v>
      </c>
      <c r="V587" s="1636">
        <v>212000</v>
      </c>
    </row>
    <row r="588" spans="1:22" ht="17.100000000000001" customHeight="1">
      <c r="A588" s="1666"/>
      <c r="B588" s="1678"/>
      <c r="C588" s="1980" t="s">
        <v>762</v>
      </c>
      <c r="D588" s="1979" t="s">
        <v>763</v>
      </c>
      <c r="E588" s="1687">
        <v>463310</v>
      </c>
      <c r="F588" s="1687">
        <f t="shared" si="132"/>
        <v>480000</v>
      </c>
      <c r="G588" s="1675">
        <f t="shared" si="133"/>
        <v>1.0360233968617125</v>
      </c>
      <c r="H588" s="1635">
        <f t="shared" si="126"/>
        <v>480000</v>
      </c>
      <c r="V588" s="1636">
        <v>480000</v>
      </c>
    </row>
    <row r="589" spans="1:22" ht="26.25" customHeight="1">
      <c r="A589" s="1666"/>
      <c r="B589" s="1678"/>
      <c r="C589" s="1980" t="s">
        <v>764</v>
      </c>
      <c r="D589" s="1979" t="s">
        <v>1440</v>
      </c>
      <c r="E589" s="1687">
        <v>48390</v>
      </c>
      <c r="F589" s="1687">
        <f t="shared" si="132"/>
        <v>57000</v>
      </c>
      <c r="G589" s="1675">
        <f t="shared" si="133"/>
        <v>1.1779293242405455</v>
      </c>
      <c r="H589" s="1635">
        <f t="shared" si="126"/>
        <v>57000</v>
      </c>
      <c r="V589" s="1636">
        <v>57000</v>
      </c>
    </row>
    <row r="590" spans="1:22" ht="17.100000000000001" customHeight="1">
      <c r="A590" s="1666"/>
      <c r="B590" s="1678"/>
      <c r="C590" s="1980" t="s">
        <v>766</v>
      </c>
      <c r="D590" s="1979" t="s">
        <v>767</v>
      </c>
      <c r="E590" s="1687">
        <v>10000</v>
      </c>
      <c r="F590" s="1687">
        <f t="shared" si="132"/>
        <v>7000</v>
      </c>
      <c r="G590" s="1675">
        <f t="shared" si="133"/>
        <v>0.7</v>
      </c>
      <c r="H590" s="1635">
        <f t="shared" si="126"/>
        <v>7000</v>
      </c>
      <c r="V590" s="1636">
        <v>7000</v>
      </c>
    </row>
    <row r="591" spans="1:22" ht="17.100000000000001" customHeight="1">
      <c r="A591" s="1666"/>
      <c r="B591" s="1678"/>
      <c r="C591" s="1985" t="s">
        <v>768</v>
      </c>
      <c r="D591" s="1979" t="s">
        <v>769</v>
      </c>
      <c r="E591" s="1687">
        <v>11400</v>
      </c>
      <c r="F591" s="1687">
        <f t="shared" si="132"/>
        <v>13460</v>
      </c>
      <c r="G591" s="1675">
        <f t="shared" si="133"/>
        <v>1.1807017543859648</v>
      </c>
      <c r="H591" s="1635">
        <f t="shared" si="126"/>
        <v>13460</v>
      </c>
      <c r="V591" s="1636">
        <v>13460</v>
      </c>
    </row>
    <row r="592" spans="1:22" ht="17.100000000000001" customHeight="1">
      <c r="A592" s="1666"/>
      <c r="B592" s="1678"/>
      <c r="C592" s="1699"/>
      <c r="D592" s="1699"/>
      <c r="E592" s="1683"/>
      <c r="F592" s="1683"/>
      <c r="G592" s="1684"/>
      <c r="H592" s="1635">
        <f t="shared" si="126"/>
        <v>0</v>
      </c>
    </row>
    <row r="593" spans="1:22" ht="17.100000000000001" customHeight="1">
      <c r="A593" s="1666"/>
      <c r="B593" s="1678"/>
      <c r="C593" s="3568" t="s">
        <v>770</v>
      </c>
      <c r="D593" s="3568"/>
      <c r="E593" s="1713">
        <f>SUM(E594:E610)</f>
        <v>547490</v>
      </c>
      <c r="F593" s="1713">
        <f t="shared" ref="F593" si="134">SUM(F594:F610)</f>
        <v>564550</v>
      </c>
      <c r="G593" s="1714">
        <f t="shared" si="133"/>
        <v>1.0311603864910774</v>
      </c>
      <c r="H593" s="1635">
        <f t="shared" si="126"/>
        <v>0</v>
      </c>
    </row>
    <row r="594" spans="1:22" ht="17.25" customHeight="1">
      <c r="A594" s="1666"/>
      <c r="B594" s="1678"/>
      <c r="C594" s="1983" t="s">
        <v>771</v>
      </c>
      <c r="D594" s="1986" t="s">
        <v>772</v>
      </c>
      <c r="E594" s="1687">
        <v>30430</v>
      </c>
      <c r="F594" s="1687">
        <f>H594</f>
        <v>20800</v>
      </c>
      <c r="G594" s="1675">
        <f t="shared" si="133"/>
        <v>0.68353598422609263</v>
      </c>
      <c r="H594" s="1635">
        <f t="shared" si="126"/>
        <v>20800</v>
      </c>
      <c r="V594" s="1636">
        <v>20800</v>
      </c>
    </row>
    <row r="595" spans="1:22" ht="17.100000000000001" customHeight="1">
      <c r="A595" s="1666"/>
      <c r="B595" s="1678"/>
      <c r="C595" s="1980" t="s">
        <v>773</v>
      </c>
      <c r="D595" s="1979" t="s">
        <v>774</v>
      </c>
      <c r="E595" s="1687">
        <v>91030</v>
      </c>
      <c r="F595" s="1687">
        <f t="shared" ref="F595:F610" si="135">H595</f>
        <v>95540</v>
      </c>
      <c r="G595" s="1675">
        <f t="shared" si="133"/>
        <v>1.0495441063385698</v>
      </c>
      <c r="H595" s="1635">
        <f t="shared" si="126"/>
        <v>95540</v>
      </c>
      <c r="V595" s="1636">
        <v>95540</v>
      </c>
    </row>
    <row r="596" spans="1:22" ht="18" customHeight="1">
      <c r="A596" s="1666"/>
      <c r="B596" s="1678"/>
      <c r="C596" s="1980" t="s">
        <v>775</v>
      </c>
      <c r="D596" s="1979" t="s">
        <v>982</v>
      </c>
      <c r="E596" s="1687">
        <v>0</v>
      </c>
      <c r="F596" s="1687">
        <f t="shared" si="135"/>
        <v>1500</v>
      </c>
      <c r="G596" s="1675" t="e">
        <f t="shared" si="133"/>
        <v>#DIV/0!</v>
      </c>
      <c r="H596" s="1635">
        <f t="shared" si="126"/>
        <v>1500</v>
      </c>
      <c r="V596" s="1636">
        <v>1500</v>
      </c>
    </row>
    <row r="597" spans="1:22" ht="17.100000000000001" customHeight="1">
      <c r="A597" s="1666"/>
      <c r="B597" s="1678"/>
      <c r="C597" s="1980" t="s">
        <v>983</v>
      </c>
      <c r="D597" s="1979" t="s">
        <v>984</v>
      </c>
      <c r="E597" s="1687">
        <v>1500</v>
      </c>
      <c r="F597" s="1687">
        <f t="shared" si="135"/>
        <v>1500</v>
      </c>
      <c r="G597" s="1675">
        <f t="shared" si="133"/>
        <v>1</v>
      </c>
      <c r="H597" s="1635">
        <f t="shared" si="126"/>
        <v>1500</v>
      </c>
      <c r="V597" s="1636">
        <v>1500</v>
      </c>
    </row>
    <row r="598" spans="1:22" ht="17.100000000000001" customHeight="1">
      <c r="A598" s="1666"/>
      <c r="B598" s="1678"/>
      <c r="C598" s="1980" t="s">
        <v>777</v>
      </c>
      <c r="D598" s="1979" t="s">
        <v>778</v>
      </c>
      <c r="E598" s="1687">
        <v>119400</v>
      </c>
      <c r="F598" s="1687">
        <f t="shared" si="135"/>
        <v>133800</v>
      </c>
      <c r="G598" s="1675">
        <f t="shared" si="133"/>
        <v>1.120603015075377</v>
      </c>
      <c r="H598" s="1635">
        <f t="shared" si="126"/>
        <v>133800</v>
      </c>
      <c r="V598" s="1636">
        <v>133800</v>
      </c>
    </row>
    <row r="599" spans="1:22" ht="17.100000000000001" customHeight="1">
      <c r="A599" s="1666"/>
      <c r="B599" s="1678"/>
      <c r="C599" s="1980" t="s">
        <v>779</v>
      </c>
      <c r="D599" s="1979" t="s">
        <v>780</v>
      </c>
      <c r="E599" s="1687">
        <v>18240</v>
      </c>
      <c r="F599" s="1687">
        <f t="shared" si="135"/>
        <v>18320</v>
      </c>
      <c r="G599" s="1675">
        <f t="shared" si="133"/>
        <v>1.0043859649122806</v>
      </c>
      <c r="H599" s="1635">
        <f t="shared" si="126"/>
        <v>18320</v>
      </c>
      <c r="V599" s="1636">
        <v>18320</v>
      </c>
    </row>
    <row r="600" spans="1:22" ht="17.100000000000001" customHeight="1">
      <c r="A600" s="1666"/>
      <c r="B600" s="1678"/>
      <c r="C600" s="1980" t="s">
        <v>781</v>
      </c>
      <c r="D600" s="1979" t="s">
        <v>782</v>
      </c>
      <c r="E600" s="1687">
        <v>7800</v>
      </c>
      <c r="F600" s="1687">
        <f t="shared" si="135"/>
        <v>8350</v>
      </c>
      <c r="G600" s="1675">
        <f t="shared" si="133"/>
        <v>1.0705128205128205</v>
      </c>
      <c r="H600" s="1635">
        <f t="shared" si="126"/>
        <v>8350</v>
      </c>
      <c r="V600" s="1636">
        <v>8350</v>
      </c>
    </row>
    <row r="601" spans="1:22" ht="17.100000000000001" customHeight="1">
      <c r="A601" s="1666"/>
      <c r="B601" s="1678"/>
      <c r="C601" s="1980" t="s">
        <v>783</v>
      </c>
      <c r="D601" s="1979" t="s">
        <v>784</v>
      </c>
      <c r="E601" s="1687">
        <v>137530</v>
      </c>
      <c r="F601" s="1687">
        <f t="shared" si="135"/>
        <v>145500</v>
      </c>
      <c r="G601" s="1675">
        <f t="shared" si="133"/>
        <v>1.0579509925107249</v>
      </c>
      <c r="H601" s="1635">
        <f t="shared" si="126"/>
        <v>145500</v>
      </c>
      <c r="V601" s="1636">
        <v>145500</v>
      </c>
    </row>
    <row r="602" spans="1:22" ht="16.5" customHeight="1">
      <c r="A602" s="1666"/>
      <c r="B602" s="1678"/>
      <c r="C602" s="1980" t="s">
        <v>785</v>
      </c>
      <c r="D602" s="1979" t="s">
        <v>786</v>
      </c>
      <c r="E602" s="1687">
        <v>12600</v>
      </c>
      <c r="F602" s="1687">
        <f t="shared" si="135"/>
        <v>12000</v>
      </c>
      <c r="G602" s="1675">
        <f t="shared" si="133"/>
        <v>0.95238095238095233</v>
      </c>
      <c r="H602" s="1635">
        <f t="shared" si="126"/>
        <v>12000</v>
      </c>
      <c r="V602" s="1636">
        <v>12000</v>
      </c>
    </row>
    <row r="603" spans="1:22" ht="25.5" hidden="1" customHeight="1">
      <c r="A603" s="1666"/>
      <c r="B603" s="1678"/>
      <c r="C603" s="1980" t="s">
        <v>789</v>
      </c>
      <c r="D603" s="1979" t="s">
        <v>790</v>
      </c>
      <c r="E603" s="1687"/>
      <c r="F603" s="1687">
        <f t="shared" si="135"/>
        <v>0</v>
      </c>
      <c r="G603" s="1675" t="e">
        <f t="shared" si="133"/>
        <v>#DIV/0!</v>
      </c>
      <c r="H603" s="1635">
        <f t="shared" si="126"/>
        <v>0</v>
      </c>
    </row>
    <row r="604" spans="1:22" ht="17.100000000000001" customHeight="1" thickBot="1">
      <c r="A604" s="1792"/>
      <c r="B604" s="3183"/>
      <c r="C604" s="3120" t="s">
        <v>791</v>
      </c>
      <c r="D604" s="3121" t="s">
        <v>792</v>
      </c>
      <c r="E604" s="1694">
        <v>7000</v>
      </c>
      <c r="F604" s="1694">
        <f t="shared" si="135"/>
        <v>5000</v>
      </c>
      <c r="G604" s="1675">
        <f t="shared" si="133"/>
        <v>0.7142857142857143</v>
      </c>
      <c r="H604" s="1635">
        <f t="shared" si="126"/>
        <v>5000</v>
      </c>
      <c r="V604" s="1636">
        <v>5000</v>
      </c>
    </row>
    <row r="605" spans="1:22" ht="17.100000000000001" hidden="1" customHeight="1">
      <c r="A605" s="1666"/>
      <c r="B605" s="1678"/>
      <c r="C605" s="3076" t="s">
        <v>927</v>
      </c>
      <c r="D605" s="3077" t="s">
        <v>928</v>
      </c>
      <c r="E605" s="3078"/>
      <c r="F605" s="3078">
        <f t="shared" si="135"/>
        <v>0</v>
      </c>
      <c r="G605" s="1675" t="e">
        <f t="shared" si="133"/>
        <v>#DIV/0!</v>
      </c>
      <c r="H605" s="1635">
        <f t="shared" si="126"/>
        <v>0</v>
      </c>
    </row>
    <row r="606" spans="1:22" ht="17.100000000000001" customHeight="1">
      <c r="A606" s="1666"/>
      <c r="B606" s="1678"/>
      <c r="C606" s="1980" t="s">
        <v>793</v>
      </c>
      <c r="D606" s="1979" t="s">
        <v>794</v>
      </c>
      <c r="E606" s="1687">
        <v>5700</v>
      </c>
      <c r="F606" s="1687">
        <f t="shared" si="135"/>
        <v>6150</v>
      </c>
      <c r="G606" s="1675">
        <f t="shared" si="133"/>
        <v>1.0789473684210527</v>
      </c>
      <c r="H606" s="1635">
        <f t="shared" si="126"/>
        <v>6150</v>
      </c>
      <c r="V606" s="1636">
        <v>6150</v>
      </c>
    </row>
    <row r="607" spans="1:22" ht="17.100000000000001" customHeight="1">
      <c r="A607" s="1666"/>
      <c r="B607" s="1678"/>
      <c r="C607" s="1980" t="s">
        <v>795</v>
      </c>
      <c r="D607" s="1979" t="s">
        <v>796</v>
      </c>
      <c r="E607" s="1687">
        <v>85520</v>
      </c>
      <c r="F607" s="1687">
        <f t="shared" si="135"/>
        <v>85650</v>
      </c>
      <c r="G607" s="1675">
        <f t="shared" si="133"/>
        <v>1.0015201122544435</v>
      </c>
      <c r="H607" s="1635">
        <f t="shared" si="126"/>
        <v>85650</v>
      </c>
      <c r="V607" s="1636">
        <v>85650</v>
      </c>
    </row>
    <row r="608" spans="1:22" ht="17.100000000000001" customHeight="1">
      <c r="A608" s="1666"/>
      <c r="B608" s="1678"/>
      <c r="C608" s="1980" t="s">
        <v>797</v>
      </c>
      <c r="D608" s="1979" t="s">
        <v>798</v>
      </c>
      <c r="E608" s="1687">
        <v>8700</v>
      </c>
      <c r="F608" s="1687">
        <f t="shared" si="135"/>
        <v>8800</v>
      </c>
      <c r="G608" s="1675">
        <f t="shared" si="133"/>
        <v>1.0114942528735633</v>
      </c>
      <c r="H608" s="1635">
        <f t="shared" si="126"/>
        <v>8800</v>
      </c>
      <c r="V608" s="1636">
        <v>8800</v>
      </c>
    </row>
    <row r="609" spans="1:22" ht="17.100000000000001" customHeight="1">
      <c r="A609" s="1666"/>
      <c r="B609" s="1678"/>
      <c r="C609" s="1987" t="s">
        <v>801</v>
      </c>
      <c r="D609" s="1988" t="s">
        <v>802</v>
      </c>
      <c r="E609" s="1687">
        <v>11040</v>
      </c>
      <c r="F609" s="1687">
        <f t="shared" si="135"/>
        <v>11040</v>
      </c>
      <c r="G609" s="1675">
        <f t="shared" si="133"/>
        <v>1</v>
      </c>
      <c r="H609" s="1635">
        <f t="shared" si="126"/>
        <v>11040</v>
      </c>
      <c r="V609" s="1636">
        <v>11040</v>
      </c>
    </row>
    <row r="610" spans="1:22" ht="19.5" customHeight="1">
      <c r="A610" s="1666"/>
      <c r="B610" s="1678"/>
      <c r="C610" s="1719" t="s">
        <v>805</v>
      </c>
      <c r="D610" s="1720" t="s">
        <v>806</v>
      </c>
      <c r="E610" s="1749">
        <v>11000</v>
      </c>
      <c r="F610" s="1687">
        <f t="shared" si="135"/>
        <v>10600</v>
      </c>
      <c r="G610" s="1750">
        <f t="shared" si="133"/>
        <v>0.96363636363636362</v>
      </c>
      <c r="H610" s="1635">
        <f t="shared" si="126"/>
        <v>10600</v>
      </c>
      <c r="V610" s="1636">
        <v>10600</v>
      </c>
    </row>
    <row r="611" spans="1:22" ht="17.100000000000001" customHeight="1" thickBot="1">
      <c r="A611" s="3182"/>
      <c r="B611" s="3178"/>
      <c r="C611" s="3070"/>
      <c r="D611" s="3070"/>
      <c r="E611" s="2766"/>
      <c r="F611" s="2766"/>
      <c r="G611" s="1684"/>
      <c r="H611" s="1635">
        <f t="shared" si="126"/>
        <v>0</v>
      </c>
    </row>
    <row r="612" spans="1:22" ht="17.100000000000001" customHeight="1">
      <c r="A612" s="1666"/>
      <c r="B612" s="1678"/>
      <c r="C612" s="3486" t="s">
        <v>807</v>
      </c>
      <c r="D612" s="3486"/>
      <c r="E612" s="2590">
        <f t="shared" ref="E612:F612" si="136">E613</f>
        <v>8100</v>
      </c>
      <c r="F612" s="2590">
        <f t="shared" si="136"/>
        <v>7700</v>
      </c>
      <c r="G612" s="1675">
        <f t="shared" si="133"/>
        <v>0.95061728395061729</v>
      </c>
      <c r="H612" s="1635">
        <f t="shared" si="126"/>
        <v>0</v>
      </c>
    </row>
    <row r="613" spans="1:22" ht="18.75" customHeight="1" thickBot="1">
      <c r="A613" s="1666"/>
      <c r="B613" s="1678"/>
      <c r="C613" s="1981" t="s">
        <v>808</v>
      </c>
      <c r="D613" s="1982" t="s">
        <v>809</v>
      </c>
      <c r="E613" s="1976">
        <v>8100</v>
      </c>
      <c r="F613" s="1976">
        <f>H613</f>
        <v>7700</v>
      </c>
      <c r="G613" s="1977">
        <f t="shared" si="133"/>
        <v>0.95061728395061729</v>
      </c>
      <c r="H613" s="1635">
        <f t="shared" si="126"/>
        <v>7700</v>
      </c>
      <c r="V613" s="1636">
        <v>7700</v>
      </c>
    </row>
    <row r="614" spans="1:22" ht="15.75" hidden="1" customHeight="1">
      <c r="A614" s="1666"/>
      <c r="B614" s="1678"/>
      <c r="C614" s="3574"/>
      <c r="D614" s="3575"/>
      <c r="E614" s="1989"/>
      <c r="F614" s="1989"/>
      <c r="G614" s="1977"/>
      <c r="H614" s="1635">
        <f t="shared" si="126"/>
        <v>0</v>
      </c>
    </row>
    <row r="615" spans="1:22" ht="18" hidden="1" customHeight="1">
      <c r="A615" s="1666"/>
      <c r="B615" s="1678"/>
      <c r="C615" s="3576" t="s">
        <v>810</v>
      </c>
      <c r="D615" s="3577"/>
      <c r="E615" s="1990">
        <f>E616</f>
        <v>0</v>
      </c>
      <c r="F615" s="1990">
        <f t="shared" ref="F615" si="137">F616</f>
        <v>0</v>
      </c>
      <c r="G615" s="1977" t="e">
        <f t="shared" si="133"/>
        <v>#DIV/0!</v>
      </c>
      <c r="H615" s="1635">
        <f t="shared" si="126"/>
        <v>0</v>
      </c>
    </row>
    <row r="616" spans="1:22" ht="16.5" hidden="1" customHeight="1">
      <c r="A616" s="1666"/>
      <c r="B616" s="1678"/>
      <c r="C616" s="3578" t="s">
        <v>931</v>
      </c>
      <c r="D616" s="3570"/>
      <c r="E616" s="1976">
        <f>SUM(E617:E617)</f>
        <v>0</v>
      </c>
      <c r="F616" s="1976">
        <f t="shared" ref="F616" si="138">SUM(F617:F617)</f>
        <v>0</v>
      </c>
      <c r="G616" s="1977" t="e">
        <f t="shared" si="133"/>
        <v>#DIV/0!</v>
      </c>
      <c r="H616" s="1635">
        <f t="shared" si="126"/>
        <v>0</v>
      </c>
    </row>
    <row r="617" spans="1:22" ht="21" hidden="1" customHeight="1" thickBot="1">
      <c r="A617" s="1666"/>
      <c r="B617" s="1678"/>
      <c r="C617" s="1978" t="s">
        <v>821</v>
      </c>
      <c r="D617" s="1979" t="s">
        <v>813</v>
      </c>
      <c r="E617" s="1976"/>
      <c r="F617" s="1976">
        <f>H617</f>
        <v>0</v>
      </c>
      <c r="G617" s="1977" t="e">
        <f t="shared" si="133"/>
        <v>#DIV/0!</v>
      </c>
      <c r="H617" s="1635">
        <f t="shared" si="126"/>
        <v>0</v>
      </c>
    </row>
    <row r="618" spans="1:22" ht="17.100000000000001" customHeight="1" thickBot="1">
      <c r="A618" s="1666"/>
      <c r="B618" s="1734" t="s">
        <v>39</v>
      </c>
      <c r="C618" s="1735"/>
      <c r="D618" s="1736" t="s">
        <v>19</v>
      </c>
      <c r="E618" s="1737">
        <f>E619+E654</f>
        <v>31093531</v>
      </c>
      <c r="F618" s="1737">
        <f>F619+F654</f>
        <v>4838917</v>
      </c>
      <c r="G618" s="1738">
        <f t="shared" si="133"/>
        <v>0.15562455740391787</v>
      </c>
      <c r="H618" s="1635">
        <f t="shared" si="126"/>
        <v>0</v>
      </c>
    </row>
    <row r="619" spans="1:22" ht="17.100000000000001" customHeight="1">
      <c r="A619" s="1666"/>
      <c r="B619" s="1678"/>
      <c r="C619" s="3472" t="s">
        <v>755</v>
      </c>
      <c r="D619" s="3472"/>
      <c r="E619" s="1672">
        <f>E620+E644+E647</f>
        <v>31063531</v>
      </c>
      <c r="F619" s="1672">
        <f t="shared" ref="F619" si="139">F620+F644+F647</f>
        <v>4838917</v>
      </c>
      <c r="G619" s="1673">
        <f t="shared" si="133"/>
        <v>0.15577485379881637</v>
      </c>
      <c r="H619" s="1635">
        <f t="shared" ref="H619:H684" si="140">SUM(I619:AE619)</f>
        <v>0</v>
      </c>
    </row>
    <row r="620" spans="1:22" ht="17.100000000000001" customHeight="1">
      <c r="A620" s="1666"/>
      <c r="B620" s="1678"/>
      <c r="C620" s="3566" t="s">
        <v>756</v>
      </c>
      <c r="D620" s="3566"/>
      <c r="E620" s="1687">
        <f>E621+E629</f>
        <v>1038593</v>
      </c>
      <c r="F620" s="1687">
        <f t="shared" ref="F620" si="141">F621+F629</f>
        <v>443000</v>
      </c>
      <c r="G620" s="1675">
        <f t="shared" si="133"/>
        <v>0.42653859596588845</v>
      </c>
      <c r="H620" s="1635">
        <f t="shared" si="140"/>
        <v>0</v>
      </c>
    </row>
    <row r="621" spans="1:22" ht="17.100000000000001" customHeight="1">
      <c r="A621" s="1666"/>
      <c r="B621" s="1678"/>
      <c r="C621" s="3567" t="s">
        <v>757</v>
      </c>
      <c r="D621" s="3567"/>
      <c r="E621" s="1713">
        <f>SUM(E622:E627)</f>
        <v>727076</v>
      </c>
      <c r="F621" s="1713">
        <f>SUM(F622:F627)</f>
        <v>338000</v>
      </c>
      <c r="G621" s="1714">
        <f t="shared" si="133"/>
        <v>0.46487574889007477</v>
      </c>
      <c r="H621" s="1635">
        <f t="shared" si="140"/>
        <v>0</v>
      </c>
    </row>
    <row r="622" spans="1:22" ht="17.100000000000001" customHeight="1">
      <c r="A622" s="1666"/>
      <c r="B622" s="1678"/>
      <c r="C622" s="1980" t="s">
        <v>758</v>
      </c>
      <c r="D622" s="1979" t="s">
        <v>759</v>
      </c>
      <c r="E622" s="1687">
        <v>545252</v>
      </c>
      <c r="F622" s="1687">
        <f>H622</f>
        <v>280780</v>
      </c>
      <c r="G622" s="1675">
        <f t="shared" si="133"/>
        <v>0.51495455312406002</v>
      </c>
      <c r="H622" s="1635">
        <f t="shared" si="140"/>
        <v>280780</v>
      </c>
      <c r="R622" s="1636">
        <v>280780</v>
      </c>
    </row>
    <row r="623" spans="1:22" ht="17.100000000000001" hidden="1" customHeight="1">
      <c r="A623" s="1666"/>
      <c r="B623" s="1678"/>
      <c r="C623" s="1980" t="s">
        <v>760</v>
      </c>
      <c r="D623" s="1979" t="s">
        <v>761</v>
      </c>
      <c r="E623" s="1687">
        <v>41155</v>
      </c>
      <c r="F623" s="1687">
        <f t="shared" ref="F623:F627" si="142">H623</f>
        <v>0</v>
      </c>
      <c r="G623" s="1675">
        <f t="shared" si="133"/>
        <v>0</v>
      </c>
      <c r="H623" s="1635">
        <f t="shared" si="140"/>
        <v>0</v>
      </c>
      <c r="R623" s="1636">
        <v>0</v>
      </c>
    </row>
    <row r="624" spans="1:22" ht="17.100000000000001" customHeight="1">
      <c r="A624" s="1666"/>
      <c r="B624" s="1678"/>
      <c r="C624" s="1980" t="s">
        <v>762</v>
      </c>
      <c r="D624" s="1979" t="s">
        <v>763</v>
      </c>
      <c r="E624" s="1687">
        <v>105143</v>
      </c>
      <c r="F624" s="1687">
        <f t="shared" si="142"/>
        <v>50340</v>
      </c>
      <c r="G624" s="1675">
        <f t="shared" si="133"/>
        <v>0.47877652340146276</v>
      </c>
      <c r="H624" s="1635">
        <f t="shared" si="140"/>
        <v>50340</v>
      </c>
      <c r="R624" s="1636">
        <v>50340</v>
      </c>
    </row>
    <row r="625" spans="1:18" ht="27" customHeight="1">
      <c r="A625" s="1666"/>
      <c r="B625" s="1678"/>
      <c r="C625" s="1980" t="s">
        <v>764</v>
      </c>
      <c r="D625" s="1979" t="s">
        <v>1440</v>
      </c>
      <c r="E625" s="1687">
        <v>9903</v>
      </c>
      <c r="F625" s="1687">
        <f t="shared" si="142"/>
        <v>6880</v>
      </c>
      <c r="G625" s="1675">
        <f t="shared" si="133"/>
        <v>0.69473896798949808</v>
      </c>
      <c r="H625" s="1635">
        <f t="shared" si="140"/>
        <v>6880</v>
      </c>
      <c r="R625" s="1636">
        <v>6880</v>
      </c>
    </row>
    <row r="626" spans="1:18" ht="17.100000000000001" hidden="1" customHeight="1">
      <c r="A626" s="1666"/>
      <c r="B626" s="1678"/>
      <c r="C626" s="1980" t="s">
        <v>766</v>
      </c>
      <c r="D626" s="1979" t="s">
        <v>767</v>
      </c>
      <c r="E626" s="1687">
        <v>18600</v>
      </c>
      <c r="F626" s="1687">
        <f t="shared" si="142"/>
        <v>0</v>
      </c>
      <c r="G626" s="1675">
        <f t="shared" si="133"/>
        <v>0</v>
      </c>
      <c r="H626" s="1635">
        <f t="shared" si="140"/>
        <v>0</v>
      </c>
      <c r="R626" s="1636">
        <v>0</v>
      </c>
    </row>
    <row r="627" spans="1:18" ht="17.100000000000001" hidden="1" customHeight="1">
      <c r="A627" s="1666"/>
      <c r="B627" s="1678"/>
      <c r="C627" s="1985" t="s">
        <v>768</v>
      </c>
      <c r="D627" s="1979" t="s">
        <v>769</v>
      </c>
      <c r="E627" s="1687">
        <v>7023</v>
      </c>
      <c r="F627" s="1687">
        <f t="shared" si="142"/>
        <v>0</v>
      </c>
      <c r="G627" s="1675">
        <f t="shared" si="133"/>
        <v>0</v>
      </c>
      <c r="H627" s="1635">
        <f t="shared" si="140"/>
        <v>0</v>
      </c>
      <c r="R627" s="1636">
        <v>0</v>
      </c>
    </row>
    <row r="628" spans="1:18" ht="17.100000000000001" customHeight="1">
      <c r="A628" s="1666"/>
      <c r="B628" s="1678"/>
      <c r="C628" s="1991"/>
      <c r="D628" s="1797"/>
      <c r="E628" s="1798"/>
      <c r="F628" s="1798"/>
      <c r="G628" s="1684"/>
      <c r="H628" s="1635">
        <f t="shared" si="140"/>
        <v>0</v>
      </c>
    </row>
    <row r="629" spans="1:18" ht="17.100000000000001" customHeight="1">
      <c r="A629" s="1666"/>
      <c r="B629" s="1678"/>
      <c r="C629" s="3514" t="s">
        <v>770</v>
      </c>
      <c r="D629" s="3514"/>
      <c r="E629" s="1833">
        <f>SUM(E630:E642)</f>
        <v>311517</v>
      </c>
      <c r="F629" s="1833">
        <f>SUM(F630:F642)</f>
        <v>105000</v>
      </c>
      <c r="G629" s="1714">
        <f t="shared" si="133"/>
        <v>0.33706025674361273</v>
      </c>
      <c r="H629" s="1635">
        <f t="shared" si="140"/>
        <v>0</v>
      </c>
    </row>
    <row r="630" spans="1:18" ht="17.100000000000001" hidden="1" customHeight="1">
      <c r="A630" s="1666"/>
      <c r="B630" s="1678"/>
      <c r="C630" s="1980" t="s">
        <v>773</v>
      </c>
      <c r="D630" s="1979" t="s">
        <v>774</v>
      </c>
      <c r="E630" s="1687">
        <v>32595</v>
      </c>
      <c r="F630" s="1687">
        <f>H630</f>
        <v>0</v>
      </c>
      <c r="G630" s="1675">
        <f t="shared" si="133"/>
        <v>0</v>
      </c>
      <c r="H630" s="1635">
        <f t="shared" si="140"/>
        <v>0</v>
      </c>
    </row>
    <row r="631" spans="1:18" ht="17.100000000000001" hidden="1" customHeight="1">
      <c r="A631" s="1666"/>
      <c r="B631" s="1678"/>
      <c r="C631" s="1980" t="s">
        <v>775</v>
      </c>
      <c r="D631" s="1979" t="s">
        <v>776</v>
      </c>
      <c r="E631" s="1687">
        <v>500</v>
      </c>
      <c r="F631" s="1687">
        <f t="shared" ref="F631:F642" si="143">H631</f>
        <v>0</v>
      </c>
      <c r="G631" s="1675">
        <f t="shared" si="133"/>
        <v>0</v>
      </c>
      <c r="H631" s="1635">
        <f t="shared" si="140"/>
        <v>0</v>
      </c>
    </row>
    <row r="632" spans="1:18" ht="17.100000000000001" hidden="1" customHeight="1">
      <c r="A632" s="1666"/>
      <c r="B632" s="1678"/>
      <c r="C632" s="1980" t="s">
        <v>777</v>
      </c>
      <c r="D632" s="1979" t="s">
        <v>778</v>
      </c>
      <c r="E632" s="1687">
        <v>32746</v>
      </c>
      <c r="F632" s="1687">
        <f t="shared" si="143"/>
        <v>0</v>
      </c>
      <c r="G632" s="1675">
        <f t="shared" si="133"/>
        <v>0</v>
      </c>
      <c r="H632" s="1635">
        <f t="shared" si="140"/>
        <v>0</v>
      </c>
    </row>
    <row r="633" spans="1:18" ht="17.100000000000001" hidden="1" customHeight="1">
      <c r="A633" s="1666"/>
      <c r="B633" s="1678"/>
      <c r="C633" s="1980" t="s">
        <v>779</v>
      </c>
      <c r="D633" s="1979" t="s">
        <v>780</v>
      </c>
      <c r="E633" s="1687">
        <v>9687</v>
      </c>
      <c r="F633" s="1687">
        <f t="shared" si="143"/>
        <v>0</v>
      </c>
      <c r="G633" s="1675">
        <f t="shared" si="133"/>
        <v>0</v>
      </c>
      <c r="H633" s="1635">
        <f t="shared" si="140"/>
        <v>0</v>
      </c>
    </row>
    <row r="634" spans="1:18" ht="17.100000000000001" hidden="1" customHeight="1">
      <c r="A634" s="1666"/>
      <c r="B634" s="1678"/>
      <c r="C634" s="1980" t="s">
        <v>781</v>
      </c>
      <c r="D634" s="1979" t="s">
        <v>782</v>
      </c>
      <c r="E634" s="1687">
        <v>1500</v>
      </c>
      <c r="F634" s="1687">
        <f t="shared" si="143"/>
        <v>0</v>
      </c>
      <c r="G634" s="1675">
        <f t="shared" si="133"/>
        <v>0</v>
      </c>
      <c r="H634" s="1635">
        <f t="shared" si="140"/>
        <v>0</v>
      </c>
    </row>
    <row r="635" spans="1:18" ht="17.100000000000001" customHeight="1">
      <c r="A635" s="1666"/>
      <c r="B635" s="1678"/>
      <c r="C635" s="1980" t="s">
        <v>783</v>
      </c>
      <c r="D635" s="1979" t="s">
        <v>784</v>
      </c>
      <c r="E635" s="1687">
        <v>202611</v>
      </c>
      <c r="F635" s="1687">
        <f t="shared" si="143"/>
        <v>105000</v>
      </c>
      <c r="G635" s="1675">
        <f t="shared" si="133"/>
        <v>0.51823444926484741</v>
      </c>
      <c r="H635" s="1635">
        <f t="shared" si="140"/>
        <v>105000</v>
      </c>
      <c r="R635" s="1636">
        <v>105000</v>
      </c>
    </row>
    <row r="636" spans="1:18" ht="16.5" hidden="1" customHeight="1">
      <c r="A636" s="1666"/>
      <c r="B636" s="1678"/>
      <c r="C636" s="1980" t="s">
        <v>785</v>
      </c>
      <c r="D636" s="1979" t="s">
        <v>985</v>
      </c>
      <c r="E636" s="1687">
        <v>5500</v>
      </c>
      <c r="F636" s="1687">
        <f t="shared" si="143"/>
        <v>0</v>
      </c>
      <c r="G636" s="1675">
        <f t="shared" si="133"/>
        <v>0</v>
      </c>
      <c r="H636" s="1635">
        <f t="shared" si="140"/>
        <v>0</v>
      </c>
    </row>
    <row r="637" spans="1:18" ht="26.25" hidden="1" customHeight="1">
      <c r="A637" s="1666"/>
      <c r="B637" s="1678"/>
      <c r="C637" s="1980" t="s">
        <v>789</v>
      </c>
      <c r="D637" s="1979" t="s">
        <v>790</v>
      </c>
      <c r="E637" s="1687">
        <v>3500</v>
      </c>
      <c r="F637" s="1687">
        <f t="shared" si="143"/>
        <v>0</v>
      </c>
      <c r="G637" s="1675">
        <f t="shared" si="133"/>
        <v>0</v>
      </c>
      <c r="H637" s="1635">
        <f t="shared" si="140"/>
        <v>0</v>
      </c>
    </row>
    <row r="638" spans="1:18" ht="17.100000000000001" hidden="1" customHeight="1">
      <c r="A638" s="1666"/>
      <c r="B638" s="1678"/>
      <c r="C638" s="1980" t="s">
        <v>791</v>
      </c>
      <c r="D638" s="1979" t="s">
        <v>792</v>
      </c>
      <c r="E638" s="1687">
        <v>1800</v>
      </c>
      <c r="F638" s="1687">
        <f t="shared" si="143"/>
        <v>0</v>
      </c>
      <c r="G638" s="1675">
        <f t="shared" si="133"/>
        <v>0</v>
      </c>
      <c r="H638" s="1635">
        <f t="shared" si="140"/>
        <v>0</v>
      </c>
    </row>
    <row r="639" spans="1:18" ht="17.100000000000001" hidden="1" customHeight="1">
      <c r="A639" s="1666"/>
      <c r="B639" s="1678"/>
      <c r="C639" s="1980" t="s">
        <v>793</v>
      </c>
      <c r="D639" s="1979" t="s">
        <v>794</v>
      </c>
      <c r="E639" s="1687">
        <v>13178</v>
      </c>
      <c r="F639" s="1687">
        <f t="shared" si="143"/>
        <v>0</v>
      </c>
      <c r="G639" s="1675">
        <f t="shared" si="133"/>
        <v>0</v>
      </c>
      <c r="H639" s="1635">
        <f t="shared" si="140"/>
        <v>0</v>
      </c>
    </row>
    <row r="640" spans="1:18" ht="17.100000000000001" hidden="1" customHeight="1">
      <c r="A640" s="1666"/>
      <c r="B640" s="1678"/>
      <c r="C640" s="1980" t="s">
        <v>795</v>
      </c>
      <c r="D640" s="1979" t="s">
        <v>796</v>
      </c>
      <c r="E640" s="1687">
        <v>1900</v>
      </c>
      <c r="F640" s="1687">
        <f t="shared" si="143"/>
        <v>0</v>
      </c>
      <c r="G640" s="1675">
        <f t="shared" si="133"/>
        <v>0</v>
      </c>
      <c r="H640" s="1635">
        <f t="shared" si="140"/>
        <v>0</v>
      </c>
    </row>
    <row r="641" spans="1:15" ht="17.100000000000001" hidden="1" customHeight="1">
      <c r="A641" s="1666"/>
      <c r="B641" s="1678"/>
      <c r="C641" s="1980" t="s">
        <v>797</v>
      </c>
      <c r="D641" s="1979" t="s">
        <v>798</v>
      </c>
      <c r="E641" s="1687">
        <v>6000</v>
      </c>
      <c r="F641" s="1687">
        <f t="shared" si="143"/>
        <v>0</v>
      </c>
      <c r="G641" s="1675">
        <f t="shared" si="133"/>
        <v>0</v>
      </c>
      <c r="H641" s="1635">
        <f t="shared" si="140"/>
        <v>0</v>
      </c>
    </row>
    <row r="642" spans="1:15" ht="18" hidden="1" customHeight="1">
      <c r="A642" s="1666"/>
      <c r="B642" s="1678"/>
      <c r="C642" s="1980" t="s">
        <v>805</v>
      </c>
      <c r="D642" s="1979" t="s">
        <v>806</v>
      </c>
      <c r="E642" s="1687"/>
      <c r="F642" s="1687">
        <f t="shared" si="143"/>
        <v>0</v>
      </c>
      <c r="G642" s="1675" t="e">
        <f t="shared" si="133"/>
        <v>#DIV/0!</v>
      </c>
      <c r="H642" s="1635">
        <f t="shared" si="140"/>
        <v>0</v>
      </c>
    </row>
    <row r="643" spans="1:15" ht="12" hidden="1" customHeight="1">
      <c r="A643" s="1666"/>
      <c r="B643" s="1678"/>
      <c r="C643" s="1699"/>
      <c r="D643" s="1699"/>
      <c r="E643" s="1683"/>
      <c r="F643" s="1683"/>
      <c r="G643" s="1684"/>
      <c r="H643" s="1635">
        <f t="shared" si="140"/>
        <v>0</v>
      </c>
    </row>
    <row r="644" spans="1:15" ht="17.100000000000001" hidden="1" customHeight="1">
      <c r="A644" s="1666"/>
      <c r="B644" s="1678"/>
      <c r="C644" s="3571" t="s">
        <v>807</v>
      </c>
      <c r="D644" s="3571"/>
      <c r="E644" s="1976">
        <f>E645</f>
        <v>1200</v>
      </c>
      <c r="F644" s="1976">
        <f t="shared" ref="F644" si="144">F645</f>
        <v>0</v>
      </c>
      <c r="G644" s="1977">
        <f t="shared" si="133"/>
        <v>0</v>
      </c>
      <c r="H644" s="1635">
        <f t="shared" si="140"/>
        <v>0</v>
      </c>
    </row>
    <row r="645" spans="1:15" ht="17.100000000000001" hidden="1" customHeight="1">
      <c r="A645" s="1666"/>
      <c r="B645" s="1678"/>
      <c r="C645" s="1809" t="s">
        <v>808</v>
      </c>
      <c r="D645" s="1992" t="s">
        <v>809</v>
      </c>
      <c r="E645" s="1687">
        <v>1200</v>
      </c>
      <c r="F645" s="1687">
        <f>H645</f>
        <v>0</v>
      </c>
      <c r="G645" s="1675">
        <f t="shared" si="133"/>
        <v>0</v>
      </c>
      <c r="H645" s="1635">
        <f t="shared" si="140"/>
        <v>0</v>
      </c>
    </row>
    <row r="646" spans="1:15" ht="11.25" customHeight="1">
      <c r="A646" s="1666"/>
      <c r="B646" s="1678"/>
      <c r="C646" s="1960"/>
      <c r="D646" s="1961"/>
      <c r="E646" s="1688"/>
      <c r="F646" s="1688"/>
      <c r="G646" s="1689"/>
      <c r="H646" s="1635">
        <f t="shared" si="140"/>
        <v>0</v>
      </c>
    </row>
    <row r="647" spans="1:15" ht="17.25" customHeight="1">
      <c r="A647" s="1666"/>
      <c r="B647" s="1678"/>
      <c r="C647" s="3566" t="s">
        <v>825</v>
      </c>
      <c r="D647" s="3566"/>
      <c r="E647" s="1993">
        <f>SUM(E648:E652)</f>
        <v>30023738</v>
      </c>
      <c r="F647" s="1993">
        <f>SUM(F648:F652)</f>
        <v>4395917</v>
      </c>
      <c r="G647" s="1994">
        <f t="shared" ref="G647:G656" si="145">F647/E647</f>
        <v>0.14641471358429786</v>
      </c>
      <c r="H647" s="1635">
        <f t="shared" si="140"/>
        <v>0</v>
      </c>
    </row>
    <row r="648" spans="1:15" ht="60.75" customHeight="1" thickBot="1">
      <c r="A648" s="1666"/>
      <c r="B648" s="1678"/>
      <c r="C648" s="1980" t="s">
        <v>573</v>
      </c>
      <c r="D648" s="1770" t="s">
        <v>827</v>
      </c>
      <c r="E648" s="1993">
        <v>29407692</v>
      </c>
      <c r="F648" s="1993">
        <f>H648</f>
        <v>4395917</v>
      </c>
      <c r="G648" s="1994">
        <f t="shared" si="145"/>
        <v>0.14948187705447949</v>
      </c>
      <c r="H648" s="1635">
        <f t="shared" si="140"/>
        <v>4395917</v>
      </c>
      <c r="O648" s="1636">
        <v>4395917</v>
      </c>
    </row>
    <row r="649" spans="1:15" ht="58.5" hidden="1" customHeight="1">
      <c r="A649" s="1666"/>
      <c r="B649" s="1678"/>
      <c r="C649" s="1981" t="s">
        <v>457</v>
      </c>
      <c r="D649" s="1995" t="s">
        <v>885</v>
      </c>
      <c r="E649" s="1996">
        <v>28786</v>
      </c>
      <c r="F649" s="1993">
        <f>H649</f>
        <v>0</v>
      </c>
      <c r="G649" s="1997">
        <f t="shared" si="145"/>
        <v>0</v>
      </c>
      <c r="H649" s="1635">
        <f t="shared" si="140"/>
        <v>0</v>
      </c>
    </row>
    <row r="650" spans="1:15" ht="16.5" hidden="1" customHeight="1">
      <c r="A650" s="1666"/>
      <c r="B650" s="1678"/>
      <c r="C650" s="1987" t="s">
        <v>892</v>
      </c>
      <c r="D650" s="1998" t="s">
        <v>784</v>
      </c>
      <c r="E650" s="1749">
        <v>586403</v>
      </c>
      <c r="F650" s="1993">
        <f t="shared" ref="F650:F652" si="146">H650</f>
        <v>0</v>
      </c>
      <c r="G650" s="1750">
        <f t="shared" si="145"/>
        <v>0</v>
      </c>
      <c r="H650" s="1635">
        <f t="shared" si="140"/>
        <v>0</v>
      </c>
    </row>
    <row r="651" spans="1:15" ht="15" hidden="1" customHeight="1">
      <c r="A651" s="1666"/>
      <c r="B651" s="1678"/>
      <c r="C651" s="1809" t="s">
        <v>846</v>
      </c>
      <c r="D651" s="1999" t="s">
        <v>784</v>
      </c>
      <c r="E651" s="1687">
        <v>0</v>
      </c>
      <c r="F651" s="1993">
        <f t="shared" si="146"/>
        <v>0</v>
      </c>
      <c r="G651" s="1675" t="e">
        <f t="shared" si="145"/>
        <v>#DIV/0!</v>
      </c>
      <c r="H651" s="1635">
        <f t="shared" si="140"/>
        <v>0</v>
      </c>
    </row>
    <row r="652" spans="1:15" ht="63" hidden="1" customHeight="1">
      <c r="A652" s="1666"/>
      <c r="B652" s="1678"/>
      <c r="C652" s="1809" t="s">
        <v>881</v>
      </c>
      <c r="D652" s="1999" t="s">
        <v>882</v>
      </c>
      <c r="E652" s="1687">
        <v>857</v>
      </c>
      <c r="F652" s="1993">
        <f t="shared" si="146"/>
        <v>0</v>
      </c>
      <c r="G652" s="1675">
        <f t="shared" si="145"/>
        <v>0</v>
      </c>
      <c r="H652" s="1635">
        <f t="shared" si="140"/>
        <v>0</v>
      </c>
    </row>
    <row r="653" spans="1:15" ht="13.5" hidden="1" customHeight="1">
      <c r="A653" s="1666"/>
      <c r="B653" s="1678"/>
      <c r="C653" s="1960"/>
      <c r="D653" s="2000"/>
      <c r="E653" s="1749"/>
      <c r="F653" s="1688"/>
      <c r="G653" s="1675"/>
    </row>
    <row r="654" spans="1:15" ht="15.75" hidden="1" customHeight="1">
      <c r="A654" s="1666"/>
      <c r="B654" s="1698"/>
      <c r="C654" s="3572" t="s">
        <v>810</v>
      </c>
      <c r="D654" s="3573"/>
      <c r="E654" s="1672">
        <f>E655</f>
        <v>30000</v>
      </c>
      <c r="F654" s="1803">
        <f>F655</f>
        <v>0</v>
      </c>
      <c r="G654" s="1804">
        <f t="shared" si="145"/>
        <v>0</v>
      </c>
      <c r="H654" s="1635">
        <f t="shared" si="140"/>
        <v>0</v>
      </c>
    </row>
    <row r="655" spans="1:15" ht="15.75" hidden="1" customHeight="1">
      <c r="A655" s="1666"/>
      <c r="B655" s="1698"/>
      <c r="C655" s="3570" t="s">
        <v>811</v>
      </c>
      <c r="D655" s="3570"/>
      <c r="E655" s="1687">
        <f>E656</f>
        <v>30000</v>
      </c>
      <c r="F655" s="1687">
        <f>F656</f>
        <v>0</v>
      </c>
      <c r="G655" s="1675">
        <f t="shared" si="145"/>
        <v>0</v>
      </c>
      <c r="H655" s="1635">
        <f t="shared" si="140"/>
        <v>0</v>
      </c>
    </row>
    <row r="656" spans="1:15" ht="15.75" hidden="1" customHeight="1" thickBot="1">
      <c r="A656" s="1666"/>
      <c r="B656" s="1698"/>
      <c r="C656" s="1980" t="s">
        <v>812</v>
      </c>
      <c r="D656" s="1979" t="s">
        <v>861</v>
      </c>
      <c r="E656" s="1687">
        <v>30000</v>
      </c>
      <c r="F656" s="1687">
        <f>H656</f>
        <v>0</v>
      </c>
      <c r="G656" s="1675">
        <f t="shared" si="145"/>
        <v>0</v>
      </c>
      <c r="H656" s="1635">
        <f t="shared" si="140"/>
        <v>0</v>
      </c>
    </row>
    <row r="657" spans="1:15" ht="17.25" hidden="1" customHeight="1" thickBot="1">
      <c r="A657" s="1666"/>
      <c r="B657" s="1734" t="s">
        <v>986</v>
      </c>
      <c r="C657" s="1893"/>
      <c r="D657" s="1736" t="s">
        <v>987</v>
      </c>
      <c r="E657" s="1737">
        <f>E658+E662</f>
        <v>24000</v>
      </c>
      <c r="F657" s="1737">
        <f>F658+F662</f>
        <v>0</v>
      </c>
      <c r="G657" s="1738">
        <f>F657/E657</f>
        <v>0</v>
      </c>
      <c r="H657" s="1635">
        <f t="shared" si="140"/>
        <v>0</v>
      </c>
    </row>
    <row r="658" spans="1:15" ht="15.75" hidden="1" customHeight="1">
      <c r="A658" s="1666"/>
      <c r="B658" s="3467"/>
      <c r="C658" s="3472" t="s">
        <v>755</v>
      </c>
      <c r="D658" s="3472"/>
      <c r="E658" s="1672">
        <f>E659</f>
        <v>24000</v>
      </c>
      <c r="F658" s="1672">
        <f>F659</f>
        <v>0</v>
      </c>
      <c r="G658" s="1673">
        <f>F658/E658</f>
        <v>0</v>
      </c>
      <c r="H658" s="1635">
        <f t="shared" si="140"/>
        <v>0</v>
      </c>
    </row>
    <row r="659" spans="1:15" ht="16.5" hidden="1" customHeight="1">
      <c r="A659" s="1666"/>
      <c r="B659" s="3467"/>
      <c r="C659" s="3570" t="s">
        <v>857</v>
      </c>
      <c r="D659" s="3570"/>
      <c r="E659" s="1713">
        <f>E660</f>
        <v>24000</v>
      </c>
      <c r="F659" s="1713">
        <f t="shared" ref="F659" si="147">F660</f>
        <v>0</v>
      </c>
      <c r="G659" s="1750">
        <f t="shared" ref="G659:G722" si="148">F659/E659</f>
        <v>0</v>
      </c>
      <c r="H659" s="1635">
        <f t="shared" si="140"/>
        <v>0</v>
      </c>
    </row>
    <row r="660" spans="1:15" ht="33.75" hidden="1" customHeight="1" thickBot="1">
      <c r="A660" s="1666"/>
      <c r="B660" s="3467"/>
      <c r="C660" s="1980" t="s">
        <v>394</v>
      </c>
      <c r="D660" s="1979" t="s">
        <v>978</v>
      </c>
      <c r="E660" s="1687">
        <v>24000</v>
      </c>
      <c r="F660" s="1687">
        <f>H660</f>
        <v>0</v>
      </c>
      <c r="G660" s="1750">
        <f t="shared" si="148"/>
        <v>0</v>
      </c>
      <c r="H660" s="1635">
        <f t="shared" si="140"/>
        <v>0</v>
      </c>
    </row>
    <row r="661" spans="1:15" ht="15.75" hidden="1" customHeight="1">
      <c r="A661" s="1666"/>
      <c r="B661" s="1698"/>
      <c r="C661" s="1706"/>
      <c r="D661" s="1707"/>
      <c r="E661" s="1749"/>
      <c r="F661" s="1749"/>
      <c r="G661" s="1673"/>
      <c r="H661" s="1635">
        <f t="shared" si="140"/>
        <v>0</v>
      </c>
    </row>
    <row r="662" spans="1:15" ht="18.75" hidden="1" customHeight="1">
      <c r="A662" s="1666"/>
      <c r="B662" s="1698"/>
      <c r="C662" s="3579" t="s">
        <v>810</v>
      </c>
      <c r="D662" s="3580"/>
      <c r="E662" s="1672">
        <f>E663</f>
        <v>0</v>
      </c>
      <c r="F662" s="1672">
        <f>F663</f>
        <v>0</v>
      </c>
      <c r="G662" s="1673" t="e">
        <f t="shared" si="148"/>
        <v>#DIV/0!</v>
      </c>
      <c r="H662" s="1635">
        <f t="shared" si="140"/>
        <v>0</v>
      </c>
    </row>
    <row r="663" spans="1:15" ht="17.25" hidden="1" customHeight="1">
      <c r="A663" s="1666"/>
      <c r="B663" s="1698"/>
      <c r="C663" s="3486" t="s">
        <v>937</v>
      </c>
      <c r="D663" s="3486"/>
      <c r="E663" s="1688">
        <f>E664</f>
        <v>0</v>
      </c>
      <c r="F663" s="1688">
        <f>F664</f>
        <v>0</v>
      </c>
      <c r="G663" s="1750" t="e">
        <f t="shared" si="148"/>
        <v>#DIV/0!</v>
      </c>
      <c r="H663" s="1635">
        <f t="shared" si="140"/>
        <v>0</v>
      </c>
    </row>
    <row r="664" spans="1:15" ht="39" hidden="1" customHeight="1" thickBot="1">
      <c r="A664" s="1666"/>
      <c r="B664" s="1698"/>
      <c r="C664" s="1706" t="s">
        <v>938</v>
      </c>
      <c r="D664" s="1703" t="s">
        <v>939</v>
      </c>
      <c r="E664" s="1687"/>
      <c r="F664" s="1687">
        <f>H664</f>
        <v>0</v>
      </c>
      <c r="G664" s="1750" t="e">
        <f t="shared" si="148"/>
        <v>#DIV/0!</v>
      </c>
      <c r="H664" s="1635">
        <f t="shared" si="140"/>
        <v>0</v>
      </c>
    </row>
    <row r="665" spans="1:15" ht="17.100000000000001" customHeight="1" thickBot="1">
      <c r="A665" s="1660" t="s">
        <v>988</v>
      </c>
      <c r="B665" s="1661"/>
      <c r="C665" s="1662"/>
      <c r="D665" s="1663" t="s">
        <v>989</v>
      </c>
      <c r="E665" s="1664">
        <f>E666</f>
        <v>17563702</v>
      </c>
      <c r="F665" s="1664">
        <f t="shared" ref="F665" si="149">F666</f>
        <v>20457545</v>
      </c>
      <c r="G665" s="1665">
        <f t="shared" si="148"/>
        <v>1.1647627020772728</v>
      </c>
      <c r="H665" s="1635">
        <f t="shared" si="140"/>
        <v>0</v>
      </c>
    </row>
    <row r="666" spans="1:15" ht="17.100000000000001" customHeight="1" thickBot="1">
      <c r="A666" s="1666"/>
      <c r="B666" s="1734" t="s">
        <v>990</v>
      </c>
      <c r="C666" s="1735"/>
      <c r="D666" s="1736" t="s">
        <v>11</v>
      </c>
      <c r="E666" s="1737">
        <f>E667+E686</f>
        <v>17563702</v>
      </c>
      <c r="F666" s="1737">
        <f t="shared" ref="F666" si="150">F667+F686</f>
        <v>20457545</v>
      </c>
      <c r="G666" s="1738">
        <f t="shared" si="148"/>
        <v>1.1647627020772728</v>
      </c>
      <c r="H666" s="1635">
        <f t="shared" si="140"/>
        <v>0</v>
      </c>
    </row>
    <row r="667" spans="1:15" ht="17.100000000000001" customHeight="1">
      <c r="A667" s="1666"/>
      <c r="B667" s="3467"/>
      <c r="C667" s="3472" t="s">
        <v>755</v>
      </c>
      <c r="D667" s="3472"/>
      <c r="E667" s="1672">
        <f>E668+E683</f>
        <v>8692908</v>
      </c>
      <c r="F667" s="1672">
        <f>F668+F683</f>
        <v>8432170</v>
      </c>
      <c r="G667" s="1673">
        <f t="shared" si="148"/>
        <v>0.97000566438756741</v>
      </c>
      <c r="H667" s="1635">
        <f t="shared" si="140"/>
        <v>0</v>
      </c>
    </row>
    <row r="668" spans="1:15" ht="17.100000000000001" customHeight="1">
      <c r="A668" s="1666"/>
      <c r="B668" s="3467"/>
      <c r="C668" s="3566" t="s">
        <v>756</v>
      </c>
      <c r="D668" s="3566"/>
      <c r="E668" s="1687">
        <f>E669</f>
        <v>8692908</v>
      </c>
      <c r="F668" s="1687">
        <f t="shared" ref="F668" si="151">F669</f>
        <v>8432170</v>
      </c>
      <c r="G668" s="1675">
        <f t="shared" si="148"/>
        <v>0.97000566438756741</v>
      </c>
      <c r="H668" s="1635">
        <f t="shared" si="140"/>
        <v>0</v>
      </c>
    </row>
    <row r="669" spans="1:15" ht="17.100000000000001" customHeight="1">
      <c r="A669" s="1666"/>
      <c r="B669" s="3467"/>
      <c r="C669" s="3568" t="s">
        <v>770</v>
      </c>
      <c r="D669" s="3568"/>
      <c r="E669" s="1713">
        <f>SUM(E670:E681)</f>
        <v>8692908</v>
      </c>
      <c r="F669" s="1713">
        <f t="shared" ref="F669" si="152">SUM(F670:F681)</f>
        <v>8432170</v>
      </c>
      <c r="G669" s="1714">
        <f t="shared" si="148"/>
        <v>0.97000566438756741</v>
      </c>
      <c r="H669" s="1635">
        <f t="shared" si="140"/>
        <v>0</v>
      </c>
    </row>
    <row r="670" spans="1:15" ht="17.100000000000001" customHeight="1">
      <c r="A670" s="1666"/>
      <c r="B670" s="3467"/>
      <c r="C670" s="1980" t="s">
        <v>773</v>
      </c>
      <c r="D670" s="1979" t="s">
        <v>774</v>
      </c>
      <c r="E670" s="1687">
        <v>77000</v>
      </c>
      <c r="F670" s="1687">
        <f>H670</f>
        <v>10000</v>
      </c>
      <c r="G670" s="1675">
        <f t="shared" si="148"/>
        <v>0.12987012987012986</v>
      </c>
      <c r="H670" s="1635">
        <f t="shared" si="140"/>
        <v>10000</v>
      </c>
      <c r="O670" s="1636">
        <v>10000</v>
      </c>
    </row>
    <row r="671" spans="1:15" ht="17.100000000000001" customHeight="1">
      <c r="A671" s="1666"/>
      <c r="B671" s="3467"/>
      <c r="C671" s="1980" t="s">
        <v>777</v>
      </c>
      <c r="D671" s="1979" t="s">
        <v>778</v>
      </c>
      <c r="E671" s="1687">
        <v>25000</v>
      </c>
      <c r="F671" s="1687">
        <f t="shared" ref="F671:F681" si="153">H671</f>
        <v>34000</v>
      </c>
      <c r="G671" s="1675">
        <f t="shared" si="148"/>
        <v>1.36</v>
      </c>
      <c r="H671" s="1635">
        <f t="shared" si="140"/>
        <v>34000</v>
      </c>
      <c r="O671" s="1636">
        <v>34000</v>
      </c>
    </row>
    <row r="672" spans="1:15" ht="17.100000000000001" customHeight="1">
      <c r="A672" s="1666"/>
      <c r="B672" s="3467"/>
      <c r="C672" s="1980" t="s">
        <v>779</v>
      </c>
      <c r="D672" s="1979" t="s">
        <v>780</v>
      </c>
      <c r="E672" s="1687">
        <v>445000</v>
      </c>
      <c r="F672" s="1687">
        <f t="shared" si="153"/>
        <v>120000</v>
      </c>
      <c r="G672" s="1675">
        <f t="shared" si="148"/>
        <v>0.2696629213483146</v>
      </c>
      <c r="H672" s="1635">
        <f t="shared" si="140"/>
        <v>120000</v>
      </c>
      <c r="O672" s="1636">
        <v>120000</v>
      </c>
    </row>
    <row r="673" spans="1:15" ht="17.100000000000001" customHeight="1">
      <c r="A673" s="1666"/>
      <c r="B673" s="3467"/>
      <c r="C673" s="1980" t="s">
        <v>783</v>
      </c>
      <c r="D673" s="1979" t="s">
        <v>784</v>
      </c>
      <c r="E673" s="1687">
        <v>2134150</v>
      </c>
      <c r="F673" s="1687">
        <f t="shared" si="153"/>
        <v>2860000</v>
      </c>
      <c r="G673" s="1675">
        <f t="shared" si="148"/>
        <v>1.3401119883794486</v>
      </c>
      <c r="H673" s="1635">
        <f t="shared" si="140"/>
        <v>2860000</v>
      </c>
      <c r="O673" s="1636">
        <v>2860000</v>
      </c>
    </row>
    <row r="674" spans="1:15" ht="17.100000000000001" customHeight="1">
      <c r="A674" s="1666"/>
      <c r="B674" s="3467"/>
      <c r="C674" s="1980" t="s">
        <v>785</v>
      </c>
      <c r="D674" s="1979" t="s">
        <v>786</v>
      </c>
      <c r="E674" s="1687">
        <v>5000</v>
      </c>
      <c r="F674" s="1687">
        <f t="shared" si="153"/>
        <v>6000</v>
      </c>
      <c r="G674" s="1675">
        <f t="shared" si="148"/>
        <v>1.2</v>
      </c>
      <c r="H674" s="1635">
        <f t="shared" si="140"/>
        <v>6000</v>
      </c>
      <c r="O674" s="1636">
        <v>6000</v>
      </c>
    </row>
    <row r="675" spans="1:15" ht="17.100000000000001" customHeight="1">
      <c r="A675" s="1666"/>
      <c r="B675" s="3467"/>
      <c r="C675" s="1980" t="s">
        <v>787</v>
      </c>
      <c r="D675" s="1979" t="s">
        <v>788</v>
      </c>
      <c r="E675" s="1687">
        <v>274758</v>
      </c>
      <c r="F675" s="1687">
        <f t="shared" si="153"/>
        <v>315905</v>
      </c>
      <c r="G675" s="1675">
        <f t="shared" si="148"/>
        <v>1.1497572409174619</v>
      </c>
      <c r="H675" s="1635">
        <f t="shared" si="140"/>
        <v>315905</v>
      </c>
      <c r="O675" s="1636">
        <v>315905</v>
      </c>
    </row>
    <row r="676" spans="1:15" ht="25.5" customHeight="1">
      <c r="A676" s="1666"/>
      <c r="B676" s="1698"/>
      <c r="C676" s="2001" t="s">
        <v>789</v>
      </c>
      <c r="D676" s="1979" t="s">
        <v>790</v>
      </c>
      <c r="E676" s="1687">
        <v>8000</v>
      </c>
      <c r="F676" s="1687">
        <f t="shared" si="153"/>
        <v>10000</v>
      </c>
      <c r="G676" s="1675">
        <f t="shared" si="148"/>
        <v>1.25</v>
      </c>
      <c r="H676" s="1635">
        <f t="shared" si="140"/>
        <v>10000</v>
      </c>
      <c r="O676" s="1636">
        <v>10000</v>
      </c>
    </row>
    <row r="677" spans="1:15" ht="17.100000000000001" customHeight="1">
      <c r="A677" s="1666"/>
      <c r="B677" s="1698"/>
      <c r="C677" s="2001" t="s">
        <v>793</v>
      </c>
      <c r="D677" s="1979" t="s">
        <v>794</v>
      </c>
      <c r="E677" s="1687">
        <v>4500000</v>
      </c>
      <c r="F677" s="1687">
        <f t="shared" si="153"/>
        <v>3855500</v>
      </c>
      <c r="G677" s="1675">
        <f t="shared" si="148"/>
        <v>0.85677777777777775</v>
      </c>
      <c r="H677" s="1635">
        <f t="shared" si="140"/>
        <v>3855500</v>
      </c>
      <c r="O677" s="1636">
        <v>3855500</v>
      </c>
    </row>
    <row r="678" spans="1:15" ht="17.100000000000001" customHeight="1">
      <c r="A678" s="1666"/>
      <c r="B678" s="1698"/>
      <c r="C678" s="2001" t="s">
        <v>803</v>
      </c>
      <c r="D678" s="1979" t="s">
        <v>804</v>
      </c>
      <c r="E678" s="1687">
        <v>1219000</v>
      </c>
      <c r="F678" s="1687">
        <f t="shared" si="153"/>
        <v>1070765</v>
      </c>
      <c r="G678" s="1675">
        <f t="shared" si="148"/>
        <v>0.87839622641509429</v>
      </c>
      <c r="H678" s="1635">
        <f t="shared" si="140"/>
        <v>1070765</v>
      </c>
      <c r="O678" s="1636">
        <v>1070765</v>
      </c>
    </row>
    <row r="679" spans="1:15" ht="17.100000000000001" hidden="1" customHeight="1">
      <c r="A679" s="1666"/>
      <c r="B679" s="1698"/>
      <c r="C679" s="2001" t="s">
        <v>991</v>
      </c>
      <c r="D679" s="1979" t="s">
        <v>992</v>
      </c>
      <c r="E679" s="1687"/>
      <c r="F679" s="1687">
        <f t="shared" si="153"/>
        <v>0</v>
      </c>
      <c r="G679" s="1675" t="e">
        <f t="shared" si="148"/>
        <v>#DIV/0!</v>
      </c>
      <c r="H679" s="1635">
        <f t="shared" si="140"/>
        <v>0</v>
      </c>
    </row>
    <row r="680" spans="1:15" ht="17.100000000000001" hidden="1" customHeight="1">
      <c r="A680" s="1666"/>
      <c r="B680" s="1698"/>
      <c r="C680" s="2001" t="s">
        <v>874</v>
      </c>
      <c r="D680" s="1979" t="s">
        <v>875</v>
      </c>
      <c r="E680" s="1687"/>
      <c r="F680" s="1687">
        <f t="shared" si="153"/>
        <v>0</v>
      </c>
      <c r="G680" s="1675" t="e">
        <f t="shared" si="148"/>
        <v>#DIV/0!</v>
      </c>
      <c r="H680" s="1635">
        <f t="shared" si="140"/>
        <v>0</v>
      </c>
    </row>
    <row r="681" spans="1:15" ht="19.5" customHeight="1">
      <c r="A681" s="1666"/>
      <c r="B681" s="1698"/>
      <c r="C681" s="1980" t="s">
        <v>805</v>
      </c>
      <c r="D681" s="1979" t="s">
        <v>806</v>
      </c>
      <c r="E681" s="1687">
        <v>5000</v>
      </c>
      <c r="F681" s="1687">
        <f t="shared" si="153"/>
        <v>150000</v>
      </c>
      <c r="G681" s="1675">
        <f t="shared" si="148"/>
        <v>30</v>
      </c>
      <c r="H681" s="1635">
        <f t="shared" si="140"/>
        <v>150000</v>
      </c>
      <c r="O681" s="1636">
        <v>150000</v>
      </c>
    </row>
    <row r="682" spans="1:15" ht="15.75" customHeight="1">
      <c r="A682" s="1666"/>
      <c r="B682" s="1698"/>
      <c r="C682" s="2002"/>
      <c r="D682" s="1986"/>
      <c r="E682" s="1687"/>
      <c r="F682" s="1687"/>
      <c r="G682" s="1675"/>
      <c r="H682" s="1635">
        <f t="shared" si="140"/>
        <v>0</v>
      </c>
    </row>
    <row r="683" spans="1:15" ht="15.75" hidden="1" customHeight="1">
      <c r="A683" s="1666"/>
      <c r="B683" s="1698"/>
      <c r="C683" s="3578" t="s">
        <v>825</v>
      </c>
      <c r="D683" s="3588"/>
      <c r="E683" s="1687">
        <f>E684</f>
        <v>0</v>
      </c>
      <c r="F683" s="1687">
        <f>F684</f>
        <v>0</v>
      </c>
      <c r="G683" s="1675" t="e">
        <f t="shared" si="148"/>
        <v>#DIV/0!</v>
      </c>
      <c r="H683" s="1635">
        <f t="shared" si="140"/>
        <v>0</v>
      </c>
    </row>
    <row r="684" spans="1:15" ht="54.75" hidden="1" customHeight="1">
      <c r="A684" s="1666"/>
      <c r="B684" s="1698"/>
      <c r="C684" s="1983" t="s">
        <v>881</v>
      </c>
      <c r="D684" s="1986" t="s">
        <v>882</v>
      </c>
      <c r="E684" s="1687"/>
      <c r="F684" s="1687">
        <f>H684</f>
        <v>0</v>
      </c>
      <c r="G684" s="1675" t="e">
        <f t="shared" si="148"/>
        <v>#DIV/0!</v>
      </c>
      <c r="H684" s="1635">
        <f t="shared" si="140"/>
        <v>0</v>
      </c>
    </row>
    <row r="685" spans="1:15" ht="15.75" hidden="1" customHeight="1">
      <c r="A685" s="1666"/>
      <c r="B685" s="1698"/>
      <c r="C685" s="2003"/>
      <c r="D685" s="2004"/>
      <c r="E685" s="1687"/>
      <c r="F685" s="1687"/>
      <c r="G685" s="1675"/>
      <c r="H685" s="1635">
        <f t="shared" ref="H685:H748" si="154">SUM(I685:AE685)</f>
        <v>0</v>
      </c>
    </row>
    <row r="686" spans="1:15" ht="15.75" customHeight="1">
      <c r="A686" s="1666"/>
      <c r="B686" s="1698"/>
      <c r="C686" s="3497" t="s">
        <v>810</v>
      </c>
      <c r="D686" s="3497"/>
      <c r="E686" s="1672">
        <f>SUM(E687)</f>
        <v>8870794</v>
      </c>
      <c r="F686" s="1672">
        <f t="shared" ref="F686" si="155">SUM(F687)</f>
        <v>12025375</v>
      </c>
      <c r="G686" s="1673">
        <f t="shared" si="148"/>
        <v>1.3556142775945423</v>
      </c>
      <c r="H686" s="1635">
        <f t="shared" si="154"/>
        <v>0</v>
      </c>
    </row>
    <row r="687" spans="1:15" ht="15.75" customHeight="1">
      <c r="A687" s="1666"/>
      <c r="B687" s="1698"/>
      <c r="C687" s="3570" t="s">
        <v>811</v>
      </c>
      <c r="D687" s="3570"/>
      <c r="E687" s="1687">
        <f>SUM(E688:E696)</f>
        <v>8870794</v>
      </c>
      <c r="F687" s="1687">
        <f>SUM(F688:F696)</f>
        <v>12025375</v>
      </c>
      <c r="G687" s="1675">
        <f t="shared" si="148"/>
        <v>1.3556142775945423</v>
      </c>
      <c r="H687" s="1635">
        <f t="shared" si="154"/>
        <v>0</v>
      </c>
    </row>
    <row r="688" spans="1:15" ht="15.75" customHeight="1">
      <c r="A688" s="1666"/>
      <c r="B688" s="1698"/>
      <c r="C688" s="1980" t="s">
        <v>821</v>
      </c>
      <c r="D688" s="1979" t="s">
        <v>813</v>
      </c>
      <c r="E688" s="1687"/>
      <c r="F688" s="1687">
        <f>H688</f>
        <v>216328</v>
      </c>
      <c r="G688" s="1675" t="e">
        <f t="shared" si="148"/>
        <v>#DIV/0!</v>
      </c>
      <c r="H688" s="1635">
        <f t="shared" si="154"/>
        <v>216328</v>
      </c>
      <c r="O688" s="1636">
        <v>216328</v>
      </c>
    </row>
    <row r="689" spans="1:15" ht="15" customHeight="1">
      <c r="A689" s="1666"/>
      <c r="B689" s="1698"/>
      <c r="C689" s="1980" t="s">
        <v>920</v>
      </c>
      <c r="D689" s="1979" t="s">
        <v>813</v>
      </c>
      <c r="E689" s="1687">
        <f>765975+5350088</f>
        <v>6116063</v>
      </c>
      <c r="F689" s="1687">
        <f t="shared" ref="F689:F696" si="156">H689</f>
        <v>9649676</v>
      </c>
      <c r="G689" s="1675">
        <f t="shared" si="148"/>
        <v>1.5777594181093295</v>
      </c>
      <c r="H689" s="1635">
        <f t="shared" si="154"/>
        <v>9649676</v>
      </c>
      <c r="O689" s="1636">
        <v>9649676</v>
      </c>
    </row>
    <row r="690" spans="1:15" ht="13.5" hidden="1" customHeight="1">
      <c r="A690" s="1666"/>
      <c r="B690" s="1698"/>
      <c r="C690" s="1980" t="s">
        <v>932</v>
      </c>
      <c r="D690" s="1979" t="s">
        <v>813</v>
      </c>
      <c r="E690" s="1687"/>
      <c r="F690" s="1687">
        <f t="shared" si="156"/>
        <v>0</v>
      </c>
      <c r="G690" s="1675" t="e">
        <f t="shared" si="148"/>
        <v>#DIV/0!</v>
      </c>
      <c r="H690" s="1635">
        <f t="shared" si="154"/>
        <v>0</v>
      </c>
    </row>
    <row r="691" spans="1:15" ht="18.75" customHeight="1">
      <c r="A691" s="1666"/>
      <c r="B691" s="1698"/>
      <c r="C691" s="1980" t="s">
        <v>921</v>
      </c>
      <c r="D691" s="1979" t="s">
        <v>813</v>
      </c>
      <c r="E691" s="1687">
        <f>135172+944135</f>
        <v>1079307</v>
      </c>
      <c r="F691" s="1687">
        <f t="shared" si="156"/>
        <v>1702884</v>
      </c>
      <c r="G691" s="1675">
        <f t="shared" si="148"/>
        <v>1.5777568384157612</v>
      </c>
      <c r="H691" s="1635">
        <f t="shared" si="154"/>
        <v>1702884</v>
      </c>
      <c r="O691" s="1636">
        <v>1702884</v>
      </c>
    </row>
    <row r="692" spans="1:15" ht="18.75" customHeight="1">
      <c r="A692" s="1666"/>
      <c r="B692" s="1698"/>
      <c r="C692" s="1981" t="s">
        <v>812</v>
      </c>
      <c r="D692" s="2005" t="s">
        <v>861</v>
      </c>
      <c r="E692" s="1687">
        <v>210000</v>
      </c>
      <c r="F692" s="1687">
        <f t="shared" si="156"/>
        <v>250000</v>
      </c>
      <c r="G692" s="1675">
        <f t="shared" si="148"/>
        <v>1.1904761904761905</v>
      </c>
      <c r="H692" s="1635">
        <f t="shared" si="154"/>
        <v>250000</v>
      </c>
      <c r="O692" s="1636">
        <v>250000</v>
      </c>
    </row>
    <row r="693" spans="1:15" ht="54" hidden="1" customHeight="1">
      <c r="A693" s="1666"/>
      <c r="B693" s="1698"/>
      <c r="C693" s="1981" t="s">
        <v>898</v>
      </c>
      <c r="D693" s="2006" t="s">
        <v>905</v>
      </c>
      <c r="E693" s="1687"/>
      <c r="F693" s="1687">
        <f t="shared" si="156"/>
        <v>0</v>
      </c>
      <c r="G693" s="1675" t="e">
        <f t="shared" si="148"/>
        <v>#DIV/0!</v>
      </c>
      <c r="H693" s="1635">
        <f t="shared" si="154"/>
        <v>0</v>
      </c>
    </row>
    <row r="694" spans="1:15" ht="57" customHeight="1" thickBot="1">
      <c r="A694" s="1792"/>
      <c r="B694" s="3174"/>
      <c r="C694" s="3120" t="s">
        <v>423</v>
      </c>
      <c r="D694" s="3072" t="s">
        <v>902</v>
      </c>
      <c r="E694" s="1694">
        <v>1465424</v>
      </c>
      <c r="F694" s="1694">
        <f t="shared" si="156"/>
        <v>206487</v>
      </c>
      <c r="G694" s="1675">
        <f t="shared" si="148"/>
        <v>0.14090597670025876</v>
      </c>
      <c r="H694" s="1635">
        <f t="shared" si="154"/>
        <v>206487</v>
      </c>
      <c r="O694" s="1636">
        <v>206487</v>
      </c>
    </row>
    <row r="695" spans="1:15" ht="43.5" hidden="1" customHeight="1">
      <c r="A695" s="1666"/>
      <c r="B695" s="1698"/>
      <c r="C695" s="3076" t="s">
        <v>938</v>
      </c>
      <c r="D695" s="3077" t="s">
        <v>939</v>
      </c>
      <c r="E695" s="3078"/>
      <c r="F695" s="3078">
        <f t="shared" si="156"/>
        <v>0</v>
      </c>
      <c r="G695" s="1675" t="e">
        <f t="shared" si="148"/>
        <v>#DIV/0!</v>
      </c>
      <c r="H695" s="1635">
        <f t="shared" si="154"/>
        <v>0</v>
      </c>
    </row>
    <row r="696" spans="1:15" ht="57.75" hidden="1" customHeight="1">
      <c r="A696" s="1666"/>
      <c r="B696" s="1698"/>
      <c r="C696" s="2007" t="s">
        <v>934</v>
      </c>
      <c r="D696" s="2008" t="s">
        <v>822</v>
      </c>
      <c r="E696" s="1688"/>
      <c r="F696" s="1687">
        <f t="shared" si="156"/>
        <v>0</v>
      </c>
      <c r="G696" s="1689" t="e">
        <f t="shared" si="148"/>
        <v>#DIV/0!</v>
      </c>
      <c r="H696" s="1635">
        <f t="shared" si="154"/>
        <v>0</v>
      </c>
    </row>
    <row r="697" spans="1:15" ht="15.75" customHeight="1">
      <c r="A697" s="1666"/>
      <c r="B697" s="1698"/>
      <c r="C697" s="3589"/>
      <c r="D697" s="3590"/>
      <c r="E697" s="1993"/>
      <c r="F697" s="1993"/>
      <c r="G697" s="1994"/>
      <c r="H697" s="1635">
        <f t="shared" si="154"/>
        <v>0</v>
      </c>
    </row>
    <row r="698" spans="1:15" ht="30.75" customHeight="1">
      <c r="A698" s="1666"/>
      <c r="B698" s="1698"/>
      <c r="C698" s="3568" t="s">
        <v>823</v>
      </c>
      <c r="D698" s="3591"/>
      <c r="E698" s="2009">
        <f>SUM(E699:E705)</f>
        <v>8660794</v>
      </c>
      <c r="F698" s="2009">
        <f>SUM(F699:F705)</f>
        <v>11775375</v>
      </c>
      <c r="G698" s="2010">
        <f t="shared" si="148"/>
        <v>1.3596184137389713</v>
      </c>
      <c r="H698" s="1635">
        <f t="shared" si="154"/>
        <v>0</v>
      </c>
    </row>
    <row r="699" spans="1:15" ht="15.75" customHeight="1">
      <c r="A699" s="1666"/>
      <c r="B699" s="1698"/>
      <c r="C699" s="1980" t="s">
        <v>821</v>
      </c>
      <c r="D699" s="1979" t="s">
        <v>813</v>
      </c>
      <c r="E699" s="1993"/>
      <c r="F699" s="1993">
        <f>H699</f>
        <v>216328</v>
      </c>
      <c r="G699" s="1994" t="e">
        <f t="shared" si="148"/>
        <v>#DIV/0!</v>
      </c>
      <c r="H699" s="1635">
        <f t="shared" si="154"/>
        <v>216328</v>
      </c>
      <c r="O699" s="1636">
        <v>216328</v>
      </c>
    </row>
    <row r="700" spans="1:15" ht="15.75" customHeight="1">
      <c r="A700" s="1666"/>
      <c r="B700" s="1698"/>
      <c r="C700" s="1980" t="s">
        <v>920</v>
      </c>
      <c r="D700" s="1979" t="s">
        <v>813</v>
      </c>
      <c r="E700" s="1993">
        <f>765975+5350088</f>
        <v>6116063</v>
      </c>
      <c r="F700" s="1993">
        <f t="shared" ref="F700:F705" si="157">H700</f>
        <v>9649676</v>
      </c>
      <c r="G700" s="1994">
        <f t="shared" si="148"/>
        <v>1.5777594181093295</v>
      </c>
      <c r="H700" s="1635">
        <f t="shared" si="154"/>
        <v>9649676</v>
      </c>
      <c r="O700" s="1636">
        <v>9649676</v>
      </c>
    </row>
    <row r="701" spans="1:15" ht="15.75" hidden="1" customHeight="1">
      <c r="A701" s="1666"/>
      <c r="B701" s="1698"/>
      <c r="C701" s="1980" t="s">
        <v>932</v>
      </c>
      <c r="D701" s="1979" t="s">
        <v>813</v>
      </c>
      <c r="E701" s="1993"/>
      <c r="F701" s="1993">
        <f t="shared" si="157"/>
        <v>0</v>
      </c>
      <c r="G701" s="1994" t="e">
        <f t="shared" si="148"/>
        <v>#DIV/0!</v>
      </c>
      <c r="H701" s="1635">
        <f t="shared" si="154"/>
        <v>0</v>
      </c>
    </row>
    <row r="702" spans="1:15" ht="15.75" customHeight="1">
      <c r="A702" s="1666"/>
      <c r="B702" s="1698"/>
      <c r="C702" s="1987" t="s">
        <v>921</v>
      </c>
      <c r="D702" s="1988" t="s">
        <v>813</v>
      </c>
      <c r="E702" s="1996">
        <f>135172+944135</f>
        <v>1079307</v>
      </c>
      <c r="F702" s="1996">
        <f t="shared" si="157"/>
        <v>1702884</v>
      </c>
      <c r="G702" s="1994">
        <f t="shared" si="148"/>
        <v>1.5777568384157612</v>
      </c>
      <c r="H702" s="1635">
        <f t="shared" si="154"/>
        <v>1702884</v>
      </c>
      <c r="O702" s="1636">
        <v>1702884</v>
      </c>
    </row>
    <row r="703" spans="1:15" ht="51.75" hidden="1" customHeight="1">
      <c r="A703" s="1666"/>
      <c r="B703" s="1698"/>
      <c r="C703" s="1706" t="s">
        <v>898</v>
      </c>
      <c r="D703" s="2011" t="s">
        <v>905</v>
      </c>
      <c r="E703" s="1688"/>
      <c r="F703" s="1688">
        <f t="shared" si="157"/>
        <v>0</v>
      </c>
      <c r="G703" s="1994" t="e">
        <f t="shared" si="148"/>
        <v>#DIV/0!</v>
      </c>
      <c r="H703" s="1635">
        <f t="shared" si="154"/>
        <v>0</v>
      </c>
    </row>
    <row r="704" spans="1:15" ht="51.75" thickBot="1">
      <c r="A704" s="1792"/>
      <c r="B704" s="3037"/>
      <c r="C704" s="2013" t="s">
        <v>423</v>
      </c>
      <c r="D704" s="3074" t="s">
        <v>902</v>
      </c>
      <c r="E704" s="1694">
        <v>1465424</v>
      </c>
      <c r="F704" s="1694">
        <f t="shared" si="157"/>
        <v>206487</v>
      </c>
      <c r="G704" s="2012">
        <f t="shared" si="148"/>
        <v>0.14090597670025876</v>
      </c>
      <c r="H704" s="1635">
        <f t="shared" si="154"/>
        <v>206487</v>
      </c>
      <c r="O704" s="1636">
        <v>206487</v>
      </c>
    </row>
    <row r="705" spans="1:29" ht="53.25" hidden="1" customHeight="1" thickBot="1">
      <c r="A705" s="1666"/>
      <c r="B705" s="1698"/>
      <c r="C705" s="3071" t="s">
        <v>934</v>
      </c>
      <c r="D705" s="3072" t="s">
        <v>822</v>
      </c>
      <c r="E705" s="1764"/>
      <c r="F705" s="3073">
        <f t="shared" si="157"/>
        <v>0</v>
      </c>
      <c r="G705" s="1695" t="e">
        <f t="shared" si="148"/>
        <v>#DIV/0!</v>
      </c>
      <c r="H705" s="1635">
        <f t="shared" si="154"/>
        <v>0</v>
      </c>
    </row>
    <row r="706" spans="1:29" ht="16.5" customHeight="1" thickBot="1">
      <c r="A706" s="1660" t="s">
        <v>93</v>
      </c>
      <c r="B706" s="1661"/>
      <c r="C706" s="1662"/>
      <c r="D706" s="1663" t="s">
        <v>993</v>
      </c>
      <c r="E706" s="1664">
        <f>E707+E720+E711</f>
        <v>3089416</v>
      </c>
      <c r="F706" s="1664">
        <f>F707+F720+F711</f>
        <v>1536963</v>
      </c>
      <c r="G706" s="1665">
        <f t="shared" si="148"/>
        <v>0.49749305370335362</v>
      </c>
      <c r="H706" s="1635">
        <f t="shared" si="154"/>
        <v>0</v>
      </c>
    </row>
    <row r="707" spans="1:29" ht="17.100000000000001" hidden="1" customHeight="1" thickBot="1">
      <c r="A707" s="2014"/>
      <c r="B707" s="1734" t="s">
        <v>994</v>
      </c>
      <c r="C707" s="1735"/>
      <c r="D707" s="1736" t="s">
        <v>995</v>
      </c>
      <c r="E707" s="1737">
        <f>E708</f>
        <v>0</v>
      </c>
      <c r="F707" s="1737">
        <f t="shared" ref="F707" si="158">F708</f>
        <v>0</v>
      </c>
      <c r="G707" s="1738" t="e">
        <f t="shared" si="148"/>
        <v>#DIV/0!</v>
      </c>
      <c r="H707" s="1635">
        <f t="shared" si="154"/>
        <v>0</v>
      </c>
    </row>
    <row r="708" spans="1:29" ht="17.100000000000001" hidden="1" customHeight="1">
      <c r="A708" s="2014"/>
      <c r="B708" s="1659"/>
      <c r="C708" s="3472" t="s">
        <v>755</v>
      </c>
      <c r="D708" s="3472"/>
      <c r="E708" s="2015">
        <f>E709</f>
        <v>0</v>
      </c>
      <c r="F708" s="2015">
        <f>F709</f>
        <v>0</v>
      </c>
      <c r="G708" s="2016" t="e">
        <f t="shared" si="148"/>
        <v>#DIV/0!</v>
      </c>
      <c r="H708" s="1635">
        <f t="shared" si="154"/>
        <v>0</v>
      </c>
    </row>
    <row r="709" spans="1:29" ht="17.100000000000001" hidden="1" customHeight="1">
      <c r="A709" s="2014"/>
      <c r="B709" s="2017"/>
      <c r="C709" s="3571" t="s">
        <v>857</v>
      </c>
      <c r="D709" s="3571"/>
      <c r="E709" s="2018">
        <f>E710</f>
        <v>0</v>
      </c>
      <c r="F709" s="2018">
        <f t="shared" ref="F709" si="159">F710</f>
        <v>0</v>
      </c>
      <c r="G709" s="2019" t="e">
        <f t="shared" si="148"/>
        <v>#DIV/0!</v>
      </c>
      <c r="H709" s="1635">
        <f t="shared" si="154"/>
        <v>0</v>
      </c>
    </row>
    <row r="710" spans="1:29" ht="63" hidden="1" customHeight="1" thickBot="1">
      <c r="A710" s="2014"/>
      <c r="B710" s="2020"/>
      <c r="C710" s="1812" t="s">
        <v>409</v>
      </c>
      <c r="D710" s="1813" t="s">
        <v>949</v>
      </c>
      <c r="E710" s="1970">
        <v>0</v>
      </c>
      <c r="F710" s="1970">
        <f>H710</f>
        <v>0</v>
      </c>
      <c r="G710" s="1971" t="e">
        <f t="shared" si="148"/>
        <v>#DIV/0!</v>
      </c>
      <c r="H710" s="1635">
        <f t="shared" si="154"/>
        <v>0</v>
      </c>
    </row>
    <row r="711" spans="1:29" ht="20.25" customHeight="1" thickBot="1">
      <c r="A711" s="2014"/>
      <c r="B711" s="1734" t="s">
        <v>996</v>
      </c>
      <c r="C711" s="1735"/>
      <c r="D711" s="1736" t="s">
        <v>463</v>
      </c>
      <c r="E711" s="1737">
        <f>E712</f>
        <v>219000</v>
      </c>
      <c r="F711" s="1737">
        <f t="shared" ref="F711" si="160">F712</f>
        <v>350000</v>
      </c>
      <c r="G711" s="1738">
        <f t="shared" si="148"/>
        <v>1.5981735159817352</v>
      </c>
      <c r="H711" s="1635">
        <f t="shared" si="154"/>
        <v>0</v>
      </c>
    </row>
    <row r="712" spans="1:29" ht="18.75" customHeight="1">
      <c r="A712" s="2014"/>
      <c r="B712" s="3581"/>
      <c r="C712" s="3472" t="s">
        <v>755</v>
      </c>
      <c r="D712" s="3472"/>
      <c r="E712" s="1672">
        <f>E713+E719</f>
        <v>219000</v>
      </c>
      <c r="F712" s="1672">
        <f>F713+F719</f>
        <v>350000</v>
      </c>
      <c r="G712" s="1673">
        <f t="shared" si="148"/>
        <v>1.5981735159817352</v>
      </c>
      <c r="H712" s="1635">
        <f t="shared" si="154"/>
        <v>0</v>
      </c>
    </row>
    <row r="713" spans="1:29" ht="18" customHeight="1">
      <c r="A713" s="2014"/>
      <c r="B713" s="3582"/>
      <c r="C713" s="3566" t="s">
        <v>756</v>
      </c>
      <c r="D713" s="3566"/>
      <c r="E713" s="1749">
        <f>E714</f>
        <v>19000</v>
      </c>
      <c r="F713" s="1749">
        <f>F714</f>
        <v>5000</v>
      </c>
      <c r="G713" s="1750">
        <f t="shared" si="148"/>
        <v>0.26315789473684209</v>
      </c>
      <c r="H713" s="1635">
        <f t="shared" si="154"/>
        <v>0</v>
      </c>
    </row>
    <row r="714" spans="1:29" ht="20.25" customHeight="1">
      <c r="A714" s="2014"/>
      <c r="B714" s="3582"/>
      <c r="C714" s="3568" t="s">
        <v>770</v>
      </c>
      <c r="D714" s="3568"/>
      <c r="E714" s="1749">
        <f>E715+E716</f>
        <v>19000</v>
      </c>
      <c r="F714" s="1749">
        <f>F715+F716</f>
        <v>5000</v>
      </c>
      <c r="G714" s="1750">
        <f t="shared" si="148"/>
        <v>0.26315789473684209</v>
      </c>
      <c r="H714" s="1635">
        <f t="shared" si="154"/>
        <v>0</v>
      </c>
    </row>
    <row r="715" spans="1:29" ht="18" customHeight="1">
      <c r="A715" s="2014"/>
      <c r="B715" s="3582"/>
      <c r="C715" s="1980" t="s">
        <v>783</v>
      </c>
      <c r="D715" s="1979" t="s">
        <v>784</v>
      </c>
      <c r="E715" s="1749">
        <v>4000</v>
      </c>
      <c r="F715" s="1749">
        <f>H715</f>
        <v>5000</v>
      </c>
      <c r="G715" s="1750">
        <f t="shared" si="148"/>
        <v>1.25</v>
      </c>
      <c r="H715" s="1635">
        <f t="shared" si="154"/>
        <v>5000</v>
      </c>
      <c r="AC715" s="1636">
        <v>5000</v>
      </c>
    </row>
    <row r="716" spans="1:29" ht="18" hidden="1" customHeight="1">
      <c r="A716" s="2014"/>
      <c r="B716" s="3582"/>
      <c r="C716" s="1702" t="s">
        <v>874</v>
      </c>
      <c r="D716" s="1703" t="s">
        <v>875</v>
      </c>
      <c r="E716" s="1749">
        <v>15000</v>
      </c>
      <c r="F716" s="1749">
        <f>H716</f>
        <v>0</v>
      </c>
      <c r="G716" s="1750">
        <f t="shared" si="148"/>
        <v>0</v>
      </c>
      <c r="H716" s="1635">
        <f t="shared" si="154"/>
        <v>0</v>
      </c>
    </row>
    <row r="717" spans="1:29" ht="18" customHeight="1">
      <c r="A717" s="2014"/>
      <c r="B717" s="3582"/>
      <c r="C717" s="3584"/>
      <c r="D717" s="3585"/>
      <c r="E717" s="1904"/>
      <c r="F717" s="1904"/>
      <c r="G717" s="1750"/>
      <c r="H717" s="1635">
        <f t="shared" si="154"/>
        <v>0</v>
      </c>
    </row>
    <row r="718" spans="1:29" ht="18" customHeight="1">
      <c r="A718" s="2014"/>
      <c r="B718" s="3582"/>
      <c r="C718" s="3586" t="s">
        <v>807</v>
      </c>
      <c r="D718" s="3587"/>
      <c r="E718" s="1688">
        <f>E719</f>
        <v>200000</v>
      </c>
      <c r="F718" s="1688">
        <f>F719</f>
        <v>345000</v>
      </c>
      <c r="G718" s="1750">
        <f t="shared" si="148"/>
        <v>1.7250000000000001</v>
      </c>
      <c r="H718" s="1635">
        <f t="shared" si="154"/>
        <v>0</v>
      </c>
    </row>
    <row r="719" spans="1:29" ht="15" customHeight="1" thickBot="1">
      <c r="A719" s="2014"/>
      <c r="B719" s="3583"/>
      <c r="C719" s="1812" t="s">
        <v>997</v>
      </c>
      <c r="D719" s="1813" t="s">
        <v>998</v>
      </c>
      <c r="E719" s="1970">
        <v>200000</v>
      </c>
      <c r="F719" s="1970">
        <f>H719</f>
        <v>345000</v>
      </c>
      <c r="G719" s="1750">
        <f t="shared" si="148"/>
        <v>1.7250000000000001</v>
      </c>
      <c r="H719" s="1635">
        <f t="shared" si="154"/>
        <v>345000</v>
      </c>
      <c r="AC719" s="1636">
        <v>345000</v>
      </c>
    </row>
    <row r="720" spans="1:29" ht="17.100000000000001" customHeight="1" thickBot="1">
      <c r="A720" s="2021"/>
      <c r="B720" s="1734" t="s">
        <v>94</v>
      </c>
      <c r="C720" s="1735"/>
      <c r="D720" s="1736" t="s">
        <v>11</v>
      </c>
      <c r="E720" s="1737">
        <f>SUM(E721+E771)</f>
        <v>2870416</v>
      </c>
      <c r="F720" s="1737">
        <f t="shared" ref="F720" si="161">SUM(F721+F771)</f>
        <v>1186963</v>
      </c>
      <c r="G720" s="1738">
        <f t="shared" si="148"/>
        <v>0.41351601997759208</v>
      </c>
      <c r="H720" s="1635">
        <f t="shared" si="154"/>
        <v>0</v>
      </c>
    </row>
    <row r="721" spans="1:29" ht="17.100000000000001" customHeight="1">
      <c r="A721" s="1666"/>
      <c r="B721" s="3467"/>
      <c r="C721" s="3472" t="s">
        <v>755</v>
      </c>
      <c r="D721" s="3472"/>
      <c r="E721" s="1672">
        <f>E722+E726+E732</f>
        <v>1839216</v>
      </c>
      <c r="F721" s="1672">
        <f>F722+F726+F732</f>
        <v>1074500</v>
      </c>
      <c r="G721" s="1673">
        <f t="shared" si="148"/>
        <v>0.58421631825734444</v>
      </c>
      <c r="H721" s="1635">
        <f t="shared" si="154"/>
        <v>0</v>
      </c>
    </row>
    <row r="722" spans="1:29" ht="17.100000000000001" customHeight="1">
      <c r="A722" s="1666"/>
      <c r="B722" s="3467"/>
      <c r="C722" s="3566" t="s">
        <v>756</v>
      </c>
      <c r="D722" s="3566"/>
      <c r="E722" s="1672">
        <f>E723</f>
        <v>150000</v>
      </c>
      <c r="F722" s="1672">
        <f>F723</f>
        <v>154500</v>
      </c>
      <c r="G722" s="1750">
        <f t="shared" si="148"/>
        <v>1.03</v>
      </c>
      <c r="H722" s="1635">
        <f t="shared" si="154"/>
        <v>0</v>
      </c>
    </row>
    <row r="723" spans="1:29" ht="17.100000000000001" customHeight="1">
      <c r="A723" s="1666"/>
      <c r="B723" s="3467"/>
      <c r="C723" s="3568" t="s">
        <v>770</v>
      </c>
      <c r="D723" s="3568"/>
      <c r="E723" s="1749">
        <f>E724</f>
        <v>150000</v>
      </c>
      <c r="F723" s="1749">
        <f>F724</f>
        <v>154500</v>
      </c>
      <c r="G723" s="1750">
        <f t="shared" ref="G723:G724" si="162">F723/E723</f>
        <v>1.03</v>
      </c>
      <c r="H723" s="1635">
        <f t="shared" si="154"/>
        <v>0</v>
      </c>
    </row>
    <row r="724" spans="1:29" ht="17.100000000000001" customHeight="1">
      <c r="A724" s="1666"/>
      <c r="B724" s="3467"/>
      <c r="C724" s="1980" t="s">
        <v>783</v>
      </c>
      <c r="D724" s="1979" t="s">
        <v>784</v>
      </c>
      <c r="E724" s="1749">
        <v>150000</v>
      </c>
      <c r="F724" s="1749">
        <f>H724</f>
        <v>154500</v>
      </c>
      <c r="G724" s="1750">
        <f t="shared" si="162"/>
        <v>1.03</v>
      </c>
      <c r="H724" s="1635">
        <f t="shared" si="154"/>
        <v>154500</v>
      </c>
      <c r="Y724" s="1636">
        <v>154500</v>
      </c>
    </row>
    <row r="725" spans="1:29" ht="17.100000000000001" customHeight="1">
      <c r="A725" s="1666"/>
      <c r="B725" s="3467"/>
      <c r="C725" s="1821"/>
      <c r="D725" s="1821"/>
      <c r="E725" s="1672"/>
      <c r="F725" s="1672"/>
      <c r="G725" s="1673"/>
      <c r="H725" s="1635">
        <f t="shared" si="154"/>
        <v>0</v>
      </c>
    </row>
    <row r="726" spans="1:29" ht="17.100000000000001" customHeight="1">
      <c r="A726" s="1666"/>
      <c r="B726" s="3467"/>
      <c r="C726" s="3570" t="s">
        <v>857</v>
      </c>
      <c r="D726" s="3570"/>
      <c r="E726" s="1749">
        <f>E727+E728+E729+E730</f>
        <v>50000</v>
      </c>
      <c r="F726" s="1749">
        <f>F727+F728+F729+F730</f>
        <v>50000</v>
      </c>
      <c r="G726" s="1750">
        <f t="shared" ref="G726:G826" si="163">F726/E726</f>
        <v>1</v>
      </c>
      <c r="H726" s="1635">
        <f t="shared" si="154"/>
        <v>0</v>
      </c>
    </row>
    <row r="727" spans="1:29" ht="24" hidden="1" customHeight="1">
      <c r="A727" s="1666"/>
      <c r="B727" s="3467"/>
      <c r="C727" s="1980" t="s">
        <v>999</v>
      </c>
      <c r="D727" s="2022" t="s">
        <v>1000</v>
      </c>
      <c r="E727" s="1749">
        <v>0</v>
      </c>
      <c r="F727" s="1749">
        <f>H727</f>
        <v>0</v>
      </c>
      <c r="G727" s="1750" t="e">
        <f t="shared" si="163"/>
        <v>#DIV/0!</v>
      </c>
      <c r="H727" s="1635">
        <f t="shared" si="154"/>
        <v>0</v>
      </c>
    </row>
    <row r="728" spans="1:29" ht="28.5" hidden="1" customHeight="1">
      <c r="A728" s="1666"/>
      <c r="B728" s="3467"/>
      <c r="C728" s="1983" t="s">
        <v>1001</v>
      </c>
      <c r="D728" s="2022" t="s">
        <v>1002</v>
      </c>
      <c r="E728" s="1749">
        <v>0</v>
      </c>
      <c r="F728" s="1749">
        <f t="shared" ref="F728:F730" si="164">H728</f>
        <v>0</v>
      </c>
      <c r="G728" s="1750" t="e">
        <f t="shared" si="163"/>
        <v>#DIV/0!</v>
      </c>
      <c r="H728" s="1635">
        <f t="shared" si="154"/>
        <v>0</v>
      </c>
    </row>
    <row r="729" spans="1:29" ht="55.5" customHeight="1">
      <c r="A729" s="1666"/>
      <c r="B729" s="3467"/>
      <c r="C729" s="1983" t="s">
        <v>409</v>
      </c>
      <c r="D729" s="2022" t="s">
        <v>876</v>
      </c>
      <c r="E729" s="1749">
        <v>50000</v>
      </c>
      <c r="F729" s="1749">
        <f t="shared" si="164"/>
        <v>50000</v>
      </c>
      <c r="G729" s="1750">
        <f t="shared" si="163"/>
        <v>1</v>
      </c>
      <c r="H729" s="1635">
        <f t="shared" si="154"/>
        <v>50000</v>
      </c>
      <c r="AC729" s="1636">
        <v>50000</v>
      </c>
    </row>
    <row r="730" spans="1:29" ht="27.75" hidden="1" customHeight="1">
      <c r="A730" s="1666"/>
      <c r="B730" s="3467"/>
      <c r="C730" s="2023" t="s">
        <v>923</v>
      </c>
      <c r="D730" s="2022" t="s">
        <v>924</v>
      </c>
      <c r="E730" s="1749">
        <v>0</v>
      </c>
      <c r="F730" s="1749">
        <f t="shared" si="164"/>
        <v>0</v>
      </c>
      <c r="G730" s="1750" t="e">
        <f t="shared" si="163"/>
        <v>#DIV/0!</v>
      </c>
      <c r="H730" s="1635">
        <f t="shared" si="154"/>
        <v>0</v>
      </c>
    </row>
    <row r="731" spans="1:29" ht="17.100000000000001" customHeight="1">
      <c r="A731" s="1666"/>
      <c r="B731" s="3467"/>
      <c r="C731" s="1821"/>
      <c r="D731" s="1821"/>
      <c r="E731" s="1672"/>
      <c r="F731" s="1672"/>
      <c r="G731" s="1750"/>
      <c r="H731" s="1635">
        <f t="shared" si="154"/>
        <v>0</v>
      </c>
    </row>
    <row r="732" spans="1:29" ht="17.100000000000001" customHeight="1">
      <c r="A732" s="1666"/>
      <c r="B732" s="3467"/>
      <c r="C732" s="3566" t="s">
        <v>825</v>
      </c>
      <c r="D732" s="3566"/>
      <c r="E732" s="1904">
        <f>SUM(E733:E769)</f>
        <v>1639216</v>
      </c>
      <c r="F732" s="1904">
        <f>SUM(F733:F769)</f>
        <v>870000</v>
      </c>
      <c r="G732" s="1905">
        <f t="shared" si="163"/>
        <v>0.53074152521693296</v>
      </c>
      <c r="H732" s="1635">
        <f t="shared" si="154"/>
        <v>0</v>
      </c>
    </row>
    <row r="733" spans="1:29" ht="53.25" hidden="1" customHeight="1">
      <c r="A733" s="1666"/>
      <c r="B733" s="1698"/>
      <c r="C733" s="2024" t="s">
        <v>457</v>
      </c>
      <c r="D733" s="2025" t="s">
        <v>885</v>
      </c>
      <c r="E733" s="1904"/>
      <c r="F733" s="1904">
        <f>H733</f>
        <v>0</v>
      </c>
      <c r="G733" s="1905" t="e">
        <f t="shared" si="163"/>
        <v>#DIV/0!</v>
      </c>
      <c r="H733" s="1635">
        <f t="shared" si="154"/>
        <v>0</v>
      </c>
    </row>
    <row r="734" spans="1:29" ht="17.25" hidden="1" customHeight="1">
      <c r="A734" s="1666"/>
      <c r="B734" s="1698"/>
      <c r="C734" s="2024" t="s">
        <v>637</v>
      </c>
      <c r="D734" s="2025" t="s">
        <v>886</v>
      </c>
      <c r="E734" s="1904"/>
      <c r="F734" s="1904">
        <f t="shared" ref="F734:F769" si="165">H734</f>
        <v>0</v>
      </c>
      <c r="G734" s="1905" t="e">
        <f t="shared" si="163"/>
        <v>#DIV/0!</v>
      </c>
      <c r="H734" s="1635">
        <f t="shared" si="154"/>
        <v>0</v>
      </c>
    </row>
    <row r="735" spans="1:29" ht="17.25" customHeight="1">
      <c r="A735" s="1666"/>
      <c r="B735" s="1698"/>
      <c r="C735" s="2024" t="s">
        <v>887</v>
      </c>
      <c r="D735" s="1979" t="s">
        <v>759</v>
      </c>
      <c r="E735" s="1904">
        <v>366414</v>
      </c>
      <c r="F735" s="1904">
        <f t="shared" si="165"/>
        <v>38000</v>
      </c>
      <c r="G735" s="1905">
        <f t="shared" si="163"/>
        <v>0.10370782775767301</v>
      </c>
      <c r="H735" s="1635">
        <f t="shared" si="154"/>
        <v>38000</v>
      </c>
      <c r="V735" s="1636">
        <v>38000</v>
      </c>
    </row>
    <row r="736" spans="1:29" ht="17.100000000000001" customHeight="1">
      <c r="A736" s="1666"/>
      <c r="B736" s="1698"/>
      <c r="C736" s="2026" t="s">
        <v>828</v>
      </c>
      <c r="D736" s="1979" t="s">
        <v>759</v>
      </c>
      <c r="E736" s="1904">
        <v>30154</v>
      </c>
      <c r="F736" s="1904">
        <f t="shared" si="165"/>
        <v>14209</v>
      </c>
      <c r="G736" s="1905">
        <f t="shared" si="163"/>
        <v>0.47121443257942563</v>
      </c>
      <c r="H736" s="1635">
        <f t="shared" si="154"/>
        <v>14209</v>
      </c>
      <c r="X736" s="1636">
        <v>14209</v>
      </c>
    </row>
    <row r="737" spans="1:24" ht="17.100000000000001" customHeight="1">
      <c r="A737" s="1666"/>
      <c r="B737" s="1698"/>
      <c r="C737" s="2026" t="s">
        <v>829</v>
      </c>
      <c r="D737" s="1979" t="s">
        <v>759</v>
      </c>
      <c r="E737" s="1904">
        <v>5322</v>
      </c>
      <c r="F737" s="1904">
        <f t="shared" si="165"/>
        <v>2508</v>
      </c>
      <c r="G737" s="1905">
        <f t="shared" si="163"/>
        <v>0.47125140924464487</v>
      </c>
      <c r="H737" s="1635">
        <f t="shared" si="154"/>
        <v>2508</v>
      </c>
      <c r="X737" s="1636">
        <v>2508</v>
      </c>
    </row>
    <row r="738" spans="1:24" ht="17.100000000000001" hidden="1" customHeight="1">
      <c r="A738" s="1666"/>
      <c r="B738" s="1698"/>
      <c r="C738" s="2026" t="s">
        <v>830</v>
      </c>
      <c r="D738" s="1979" t="s">
        <v>761</v>
      </c>
      <c r="E738" s="1904"/>
      <c r="F738" s="1904">
        <f t="shared" si="165"/>
        <v>0</v>
      </c>
      <c r="G738" s="1905" t="e">
        <f t="shared" si="163"/>
        <v>#DIV/0!</v>
      </c>
      <c r="H738" s="1635">
        <f t="shared" si="154"/>
        <v>0</v>
      </c>
    </row>
    <row r="739" spans="1:24" ht="17.100000000000001" hidden="1" customHeight="1">
      <c r="A739" s="1666"/>
      <c r="B739" s="1698"/>
      <c r="C739" s="2026" t="s">
        <v>831</v>
      </c>
      <c r="D739" s="1979" t="s">
        <v>761</v>
      </c>
      <c r="E739" s="1904"/>
      <c r="F739" s="1904">
        <f t="shared" si="165"/>
        <v>0</v>
      </c>
      <c r="G739" s="1905" t="e">
        <f t="shared" si="163"/>
        <v>#DIV/0!</v>
      </c>
      <c r="H739" s="1635">
        <f t="shared" si="154"/>
        <v>0</v>
      </c>
    </row>
    <row r="740" spans="1:24" ht="17.100000000000001" customHeight="1">
      <c r="A740" s="1666"/>
      <c r="B740" s="1698"/>
      <c r="C740" s="2026" t="s">
        <v>889</v>
      </c>
      <c r="D740" s="1979" t="s">
        <v>763</v>
      </c>
      <c r="E740" s="1904">
        <v>62377</v>
      </c>
      <c r="F740" s="1904">
        <f t="shared" si="165"/>
        <v>5800</v>
      </c>
      <c r="G740" s="1905">
        <f t="shared" si="163"/>
        <v>9.2982990525353901E-2</v>
      </c>
      <c r="H740" s="1635">
        <f t="shared" si="154"/>
        <v>5800</v>
      </c>
      <c r="V740" s="1636">
        <v>5800</v>
      </c>
    </row>
    <row r="741" spans="1:24" ht="17.100000000000001" customHeight="1">
      <c r="A741" s="1666"/>
      <c r="B741" s="1698"/>
      <c r="C741" s="2026" t="s">
        <v>832</v>
      </c>
      <c r="D741" s="1979" t="s">
        <v>763</v>
      </c>
      <c r="E741" s="1904">
        <v>5182</v>
      </c>
      <c r="F741" s="1904">
        <f t="shared" si="165"/>
        <v>2443</v>
      </c>
      <c r="G741" s="1905">
        <f t="shared" si="163"/>
        <v>0.47143959861057505</v>
      </c>
      <c r="H741" s="1635">
        <f t="shared" si="154"/>
        <v>2443</v>
      </c>
      <c r="X741" s="1636">
        <v>2443</v>
      </c>
    </row>
    <row r="742" spans="1:24" ht="17.100000000000001" customHeight="1">
      <c r="A742" s="1666"/>
      <c r="B742" s="1698"/>
      <c r="C742" s="2026" t="s">
        <v>833</v>
      </c>
      <c r="D742" s="1979" t="s">
        <v>763</v>
      </c>
      <c r="E742" s="1904">
        <v>916</v>
      </c>
      <c r="F742" s="1904">
        <f t="shared" si="165"/>
        <v>431</v>
      </c>
      <c r="G742" s="1905">
        <f t="shared" si="163"/>
        <v>0.47052401746724892</v>
      </c>
      <c r="H742" s="1635">
        <f t="shared" si="154"/>
        <v>431</v>
      </c>
      <c r="X742" s="1636">
        <v>431</v>
      </c>
    </row>
    <row r="743" spans="1:24" ht="27.75" customHeight="1">
      <c r="A743" s="1666"/>
      <c r="B743" s="1698"/>
      <c r="C743" s="2026" t="s">
        <v>890</v>
      </c>
      <c r="D743" s="1979" t="s">
        <v>1440</v>
      </c>
      <c r="E743" s="1904">
        <v>12147</v>
      </c>
      <c r="F743" s="1904">
        <f t="shared" si="165"/>
        <v>908</v>
      </c>
      <c r="G743" s="1905">
        <f t="shared" si="163"/>
        <v>7.4750967317033012E-2</v>
      </c>
      <c r="H743" s="1635">
        <f t="shared" si="154"/>
        <v>908</v>
      </c>
      <c r="V743" s="1636">
        <v>908</v>
      </c>
    </row>
    <row r="744" spans="1:24" ht="30" customHeight="1">
      <c r="A744" s="1666"/>
      <c r="B744" s="1698"/>
      <c r="C744" s="2026" t="s">
        <v>834</v>
      </c>
      <c r="D744" s="1979" t="s">
        <v>1440</v>
      </c>
      <c r="E744" s="1904">
        <v>738</v>
      </c>
      <c r="F744" s="1904">
        <f t="shared" si="165"/>
        <v>348</v>
      </c>
      <c r="G744" s="1905">
        <f t="shared" si="163"/>
        <v>0.47154471544715448</v>
      </c>
      <c r="H744" s="1635">
        <f t="shared" si="154"/>
        <v>348</v>
      </c>
      <c r="X744" s="1636">
        <v>348</v>
      </c>
    </row>
    <row r="745" spans="1:24" ht="28.5" customHeight="1">
      <c r="A745" s="1666"/>
      <c r="B745" s="1698"/>
      <c r="C745" s="2026" t="s">
        <v>835</v>
      </c>
      <c r="D745" s="1979" t="s">
        <v>1440</v>
      </c>
      <c r="E745" s="1904">
        <v>130</v>
      </c>
      <c r="F745" s="1904">
        <f t="shared" si="165"/>
        <v>61</v>
      </c>
      <c r="G745" s="1905">
        <f t="shared" si="163"/>
        <v>0.46923076923076923</v>
      </c>
      <c r="H745" s="1635">
        <f t="shared" si="154"/>
        <v>61</v>
      </c>
      <c r="X745" s="1636">
        <v>61</v>
      </c>
    </row>
    <row r="746" spans="1:24" ht="17.100000000000001" customHeight="1">
      <c r="A746" s="1666"/>
      <c r="B746" s="1678"/>
      <c r="C746" s="1980" t="s">
        <v>1003</v>
      </c>
      <c r="D746" s="1979" t="s">
        <v>767</v>
      </c>
      <c r="E746" s="1904">
        <v>150000</v>
      </c>
      <c r="F746" s="1904">
        <f t="shared" si="165"/>
        <v>50000</v>
      </c>
      <c r="G746" s="1905">
        <f t="shared" si="163"/>
        <v>0.33333333333333331</v>
      </c>
      <c r="H746" s="1635">
        <f t="shared" si="154"/>
        <v>50000</v>
      </c>
      <c r="V746" s="1636">
        <v>50000</v>
      </c>
    </row>
    <row r="747" spans="1:24" ht="17.100000000000001" hidden="1" customHeight="1">
      <c r="A747" s="1666"/>
      <c r="B747" s="1678"/>
      <c r="C747" s="1980" t="s">
        <v>836</v>
      </c>
      <c r="D747" s="1979" t="s">
        <v>767</v>
      </c>
      <c r="E747" s="1904"/>
      <c r="F747" s="1904">
        <f t="shared" si="165"/>
        <v>0</v>
      </c>
      <c r="G747" s="1905" t="e">
        <f t="shared" si="163"/>
        <v>#DIV/0!</v>
      </c>
      <c r="H747" s="1635">
        <f t="shared" si="154"/>
        <v>0</v>
      </c>
    </row>
    <row r="748" spans="1:24" ht="17.100000000000001" hidden="1" customHeight="1">
      <c r="A748" s="1666"/>
      <c r="B748" s="1678"/>
      <c r="C748" s="1980" t="s">
        <v>837</v>
      </c>
      <c r="D748" s="1979" t="s">
        <v>767</v>
      </c>
      <c r="E748" s="1904"/>
      <c r="F748" s="1904">
        <f t="shared" si="165"/>
        <v>0</v>
      </c>
      <c r="G748" s="1905" t="e">
        <f t="shared" si="163"/>
        <v>#DIV/0!</v>
      </c>
      <c r="H748" s="1635">
        <f t="shared" si="154"/>
        <v>0</v>
      </c>
    </row>
    <row r="749" spans="1:24" ht="17.100000000000001" customHeight="1">
      <c r="A749" s="1666"/>
      <c r="B749" s="1678"/>
      <c r="C749" s="1980" t="s">
        <v>891</v>
      </c>
      <c r="D749" s="1979" t="s">
        <v>774</v>
      </c>
      <c r="E749" s="1904">
        <v>0</v>
      </c>
      <c r="F749" s="1904">
        <f t="shared" si="165"/>
        <v>100000</v>
      </c>
      <c r="G749" s="1905"/>
      <c r="H749" s="1635">
        <f t="shared" ref="H749:H820" si="166">SUM(I749:AE749)</f>
        <v>100000</v>
      </c>
      <c r="V749" s="1636">
        <v>100000</v>
      </c>
    </row>
    <row r="750" spans="1:24" ht="17.100000000000001" customHeight="1">
      <c r="A750" s="1666"/>
      <c r="B750" s="1678"/>
      <c r="C750" s="1980" t="s">
        <v>841</v>
      </c>
      <c r="D750" s="1979" t="s">
        <v>774</v>
      </c>
      <c r="E750" s="1904">
        <v>425</v>
      </c>
      <c r="F750" s="1904">
        <f t="shared" si="165"/>
        <v>1700</v>
      </c>
      <c r="G750" s="1905">
        <f t="shared" si="163"/>
        <v>4</v>
      </c>
      <c r="H750" s="1635">
        <f t="shared" si="166"/>
        <v>1700</v>
      </c>
      <c r="X750" s="1636">
        <v>1700</v>
      </c>
    </row>
    <row r="751" spans="1:24" ht="17.100000000000001" customHeight="1">
      <c r="A751" s="1666"/>
      <c r="B751" s="1678"/>
      <c r="C751" s="1980" t="s">
        <v>842</v>
      </c>
      <c r="D751" s="1979" t="s">
        <v>774</v>
      </c>
      <c r="E751" s="1904">
        <v>75</v>
      </c>
      <c r="F751" s="1904">
        <f t="shared" si="165"/>
        <v>300</v>
      </c>
      <c r="G751" s="1905">
        <f t="shared" si="163"/>
        <v>4</v>
      </c>
      <c r="H751" s="1635">
        <f t="shared" si="166"/>
        <v>300</v>
      </c>
      <c r="X751" s="1636">
        <v>300</v>
      </c>
    </row>
    <row r="752" spans="1:24" ht="17.100000000000001" customHeight="1">
      <c r="A752" s="1666"/>
      <c r="B752" s="1678"/>
      <c r="C752" s="1980" t="s">
        <v>892</v>
      </c>
      <c r="D752" s="1979" t="s">
        <v>784</v>
      </c>
      <c r="E752" s="1904">
        <v>500000</v>
      </c>
      <c r="F752" s="1904">
        <f t="shared" si="165"/>
        <v>377652</v>
      </c>
      <c r="G752" s="1905">
        <f t="shared" si="163"/>
        <v>0.75530399999999998</v>
      </c>
      <c r="H752" s="1635">
        <f t="shared" si="166"/>
        <v>377652</v>
      </c>
      <c r="V752" s="1636">
        <v>377652</v>
      </c>
    </row>
    <row r="753" spans="1:24" ht="17.100000000000001" customHeight="1">
      <c r="A753" s="1666"/>
      <c r="B753" s="1678"/>
      <c r="C753" s="1980" t="s">
        <v>845</v>
      </c>
      <c r="D753" s="1979" t="s">
        <v>784</v>
      </c>
      <c r="E753" s="1904">
        <v>29750</v>
      </c>
      <c r="F753" s="1904">
        <f t="shared" si="165"/>
        <v>40800</v>
      </c>
      <c r="G753" s="1905">
        <f t="shared" si="163"/>
        <v>1.3714285714285714</v>
      </c>
      <c r="H753" s="1635">
        <f t="shared" si="166"/>
        <v>40800</v>
      </c>
      <c r="X753" s="1636">
        <v>40800</v>
      </c>
    </row>
    <row r="754" spans="1:24" ht="17.100000000000001" customHeight="1">
      <c r="A754" s="1666"/>
      <c r="B754" s="1678"/>
      <c r="C754" s="1980" t="s">
        <v>846</v>
      </c>
      <c r="D754" s="1979" t="s">
        <v>784</v>
      </c>
      <c r="E754" s="1904">
        <v>5250</v>
      </c>
      <c r="F754" s="1904">
        <f t="shared" si="165"/>
        <v>7200</v>
      </c>
      <c r="G754" s="1905">
        <f t="shared" si="163"/>
        <v>1.3714285714285714</v>
      </c>
      <c r="H754" s="1635">
        <f t="shared" si="166"/>
        <v>7200</v>
      </c>
      <c r="X754" s="1636">
        <v>7200</v>
      </c>
    </row>
    <row r="755" spans="1:24" ht="16.5" hidden="1" customHeight="1">
      <c r="A755" s="1666"/>
      <c r="B755" s="1678"/>
      <c r="C755" s="1980" t="s">
        <v>1004</v>
      </c>
      <c r="D755" s="1979" t="s">
        <v>951</v>
      </c>
      <c r="E755" s="1904"/>
      <c r="F755" s="1904">
        <f t="shared" si="165"/>
        <v>0</v>
      </c>
      <c r="G755" s="1905" t="e">
        <f t="shared" si="163"/>
        <v>#DIV/0!</v>
      </c>
      <c r="H755" s="1635">
        <f t="shared" si="166"/>
        <v>0</v>
      </c>
    </row>
    <row r="756" spans="1:24" ht="16.5" customHeight="1">
      <c r="A756" s="1666"/>
      <c r="B756" s="1678"/>
      <c r="C756" s="1980" t="s">
        <v>952</v>
      </c>
      <c r="D756" s="1979" t="s">
        <v>951</v>
      </c>
      <c r="E756" s="1904">
        <v>1275</v>
      </c>
      <c r="F756" s="1904">
        <f t="shared" si="165"/>
        <v>1700</v>
      </c>
      <c r="G756" s="1905">
        <f t="shared" si="163"/>
        <v>1.3333333333333333</v>
      </c>
      <c r="H756" s="1635">
        <f t="shared" si="166"/>
        <v>1700</v>
      </c>
      <c r="X756" s="1636">
        <v>1700</v>
      </c>
    </row>
    <row r="757" spans="1:24" ht="16.5" customHeight="1">
      <c r="A757" s="1666"/>
      <c r="B757" s="1678"/>
      <c r="C757" s="1987" t="s">
        <v>953</v>
      </c>
      <c r="D757" s="1988" t="s">
        <v>951</v>
      </c>
      <c r="E757" s="1904">
        <v>225</v>
      </c>
      <c r="F757" s="1904">
        <f t="shared" si="165"/>
        <v>300</v>
      </c>
      <c r="G757" s="1905">
        <f t="shared" si="163"/>
        <v>1.3333333333333333</v>
      </c>
      <c r="H757" s="1635">
        <f t="shared" si="166"/>
        <v>300</v>
      </c>
      <c r="X757" s="1636">
        <v>300</v>
      </c>
    </row>
    <row r="758" spans="1:24" ht="16.5" customHeight="1">
      <c r="A758" s="1666"/>
      <c r="B758" s="1678"/>
      <c r="C758" s="1719" t="s">
        <v>893</v>
      </c>
      <c r="D758" s="1720" t="s">
        <v>788</v>
      </c>
      <c r="E758" s="1749">
        <v>380000</v>
      </c>
      <c r="F758" s="1904">
        <f t="shared" si="165"/>
        <v>100000</v>
      </c>
      <c r="G758" s="1750">
        <f t="shared" si="163"/>
        <v>0.26315789473684209</v>
      </c>
      <c r="H758" s="1635">
        <f t="shared" si="166"/>
        <v>100000</v>
      </c>
      <c r="V758" s="1636">
        <v>100000</v>
      </c>
    </row>
    <row r="759" spans="1:24" ht="16.5" hidden="1" customHeight="1">
      <c r="A759" s="1666"/>
      <c r="B759" s="1678"/>
      <c r="C759" s="1980" t="s">
        <v>847</v>
      </c>
      <c r="D759" s="1979" t="s">
        <v>788</v>
      </c>
      <c r="E759" s="1904"/>
      <c r="F759" s="1904">
        <f t="shared" si="165"/>
        <v>0</v>
      </c>
      <c r="G759" s="1905" t="e">
        <f t="shared" si="163"/>
        <v>#DIV/0!</v>
      </c>
      <c r="H759" s="1635">
        <f t="shared" si="166"/>
        <v>0</v>
      </c>
    </row>
    <row r="760" spans="1:24" ht="16.5" hidden="1" customHeight="1">
      <c r="A760" s="1666"/>
      <c r="B760" s="1678"/>
      <c r="C760" s="1980" t="s">
        <v>848</v>
      </c>
      <c r="D760" s="1979" t="s">
        <v>788</v>
      </c>
      <c r="E760" s="1904"/>
      <c r="F760" s="1904">
        <f t="shared" si="165"/>
        <v>0</v>
      </c>
      <c r="G760" s="1905" t="e">
        <f t="shared" si="163"/>
        <v>#DIV/0!</v>
      </c>
      <c r="H760" s="1635">
        <f t="shared" si="166"/>
        <v>0</v>
      </c>
    </row>
    <row r="761" spans="1:24" ht="18" customHeight="1" thickBot="1">
      <c r="A761" s="1792"/>
      <c r="B761" s="3183"/>
      <c r="C761" s="3120" t="s">
        <v>894</v>
      </c>
      <c r="D761" s="3121" t="s">
        <v>792</v>
      </c>
      <c r="E761" s="1694">
        <v>7836</v>
      </c>
      <c r="F761" s="1694">
        <f t="shared" si="165"/>
        <v>7000</v>
      </c>
      <c r="G761" s="1905">
        <f t="shared" si="163"/>
        <v>0.89331291475242469</v>
      </c>
      <c r="H761" s="1635">
        <f t="shared" si="166"/>
        <v>7000</v>
      </c>
      <c r="V761" s="1636">
        <v>7000</v>
      </c>
    </row>
    <row r="762" spans="1:24" ht="18" hidden="1" customHeight="1">
      <c r="A762" s="1666"/>
      <c r="B762" s="1678"/>
      <c r="C762" s="1706" t="s">
        <v>849</v>
      </c>
      <c r="D762" s="1707" t="s">
        <v>792</v>
      </c>
      <c r="E762" s="3078">
        <v>5525</v>
      </c>
      <c r="F762" s="3078">
        <f t="shared" si="165"/>
        <v>0</v>
      </c>
      <c r="G762" s="1905">
        <f t="shared" si="163"/>
        <v>0</v>
      </c>
      <c r="H762" s="1635">
        <f t="shared" si="166"/>
        <v>0</v>
      </c>
    </row>
    <row r="763" spans="1:24" ht="18" hidden="1" customHeight="1">
      <c r="A763" s="1666"/>
      <c r="B763" s="1678"/>
      <c r="C763" s="1981" t="s">
        <v>850</v>
      </c>
      <c r="D763" s="1982" t="s">
        <v>792</v>
      </c>
      <c r="E763" s="1904">
        <v>975</v>
      </c>
      <c r="F763" s="1904">
        <f t="shared" si="165"/>
        <v>0</v>
      </c>
      <c r="G763" s="1905">
        <f t="shared" si="163"/>
        <v>0</v>
      </c>
      <c r="H763" s="1635">
        <f t="shared" si="166"/>
        <v>0</v>
      </c>
    </row>
    <row r="764" spans="1:24" ht="17.100000000000001" customHeight="1">
      <c r="A764" s="1666"/>
      <c r="B764" s="1678"/>
      <c r="C764" s="1981" t="s">
        <v>1005</v>
      </c>
      <c r="D764" s="1982" t="s">
        <v>928</v>
      </c>
      <c r="E764" s="1904">
        <v>40000</v>
      </c>
      <c r="F764" s="1904">
        <f t="shared" si="165"/>
        <v>40000</v>
      </c>
      <c r="G764" s="1905">
        <f t="shared" si="163"/>
        <v>1</v>
      </c>
      <c r="H764" s="1635">
        <f t="shared" si="166"/>
        <v>40000</v>
      </c>
      <c r="V764" s="1636">
        <v>40000</v>
      </c>
    </row>
    <row r="765" spans="1:24" ht="17.100000000000001" customHeight="1">
      <c r="A765" s="1666"/>
      <c r="B765" s="1678"/>
      <c r="C765" s="1980" t="s">
        <v>954</v>
      </c>
      <c r="D765" s="1982" t="s">
        <v>928</v>
      </c>
      <c r="E765" s="1904">
        <v>24225</v>
      </c>
      <c r="F765" s="1904">
        <f t="shared" si="165"/>
        <v>40800</v>
      </c>
      <c r="G765" s="1905">
        <f t="shared" si="163"/>
        <v>1.6842105263157894</v>
      </c>
      <c r="H765" s="1635">
        <f t="shared" si="166"/>
        <v>40800</v>
      </c>
      <c r="X765" s="1636">
        <v>40800</v>
      </c>
    </row>
    <row r="766" spans="1:24" ht="17.100000000000001" customHeight="1">
      <c r="A766" s="1666"/>
      <c r="B766" s="1678"/>
      <c r="C766" s="1980" t="s">
        <v>955</v>
      </c>
      <c r="D766" s="1982" t="s">
        <v>928</v>
      </c>
      <c r="E766" s="1904">
        <v>4275</v>
      </c>
      <c r="F766" s="1904">
        <f t="shared" si="165"/>
        <v>7200</v>
      </c>
      <c r="G766" s="1905">
        <f t="shared" si="163"/>
        <v>1.6842105263157894</v>
      </c>
      <c r="H766" s="1635">
        <f t="shared" si="166"/>
        <v>7200</v>
      </c>
      <c r="X766" s="1636">
        <v>7200</v>
      </c>
    </row>
    <row r="767" spans="1:24" ht="52.5" hidden="1" customHeight="1">
      <c r="A767" s="1666"/>
      <c r="B767" s="1678"/>
      <c r="C767" s="1981" t="s">
        <v>881</v>
      </c>
      <c r="D767" s="1982" t="s">
        <v>882</v>
      </c>
      <c r="E767" s="1904"/>
      <c r="F767" s="1904">
        <f t="shared" si="165"/>
        <v>0</v>
      </c>
      <c r="G767" s="1905" t="e">
        <f t="shared" si="163"/>
        <v>#DIV/0!</v>
      </c>
      <c r="H767" s="1635">
        <f t="shared" si="166"/>
        <v>0</v>
      </c>
    </row>
    <row r="768" spans="1:24" ht="18.75" customHeight="1">
      <c r="A768" s="1666"/>
      <c r="B768" s="1678"/>
      <c r="C768" s="1987" t="s">
        <v>895</v>
      </c>
      <c r="D768" s="1988" t="s">
        <v>806</v>
      </c>
      <c r="E768" s="1904">
        <v>5000</v>
      </c>
      <c r="F768" s="1904">
        <f t="shared" si="165"/>
        <v>30000</v>
      </c>
      <c r="G768" s="1905">
        <f t="shared" si="163"/>
        <v>6</v>
      </c>
      <c r="H768" s="1635">
        <f t="shared" si="166"/>
        <v>30000</v>
      </c>
      <c r="V768" s="1636">
        <v>30000</v>
      </c>
    </row>
    <row r="769" spans="1:22" ht="18.75" customHeight="1">
      <c r="A769" s="1666"/>
      <c r="B769" s="1678"/>
      <c r="C769" s="1987" t="s">
        <v>896</v>
      </c>
      <c r="D769" s="2027" t="s">
        <v>769</v>
      </c>
      <c r="E769" s="2028">
        <v>1000</v>
      </c>
      <c r="F769" s="2028">
        <f t="shared" si="165"/>
        <v>640</v>
      </c>
      <c r="G769" s="2029">
        <f t="shared" si="163"/>
        <v>0.64</v>
      </c>
      <c r="H769" s="1635">
        <f t="shared" si="166"/>
        <v>640</v>
      </c>
      <c r="V769" s="1636">
        <v>640</v>
      </c>
    </row>
    <row r="770" spans="1:22" ht="17.100000000000001" customHeight="1" thickBot="1">
      <c r="A770" s="3182"/>
      <c r="B770" s="3178"/>
      <c r="C770" s="3592"/>
      <c r="D770" s="3593"/>
      <c r="E770" s="1694"/>
      <c r="F770" s="1694"/>
      <c r="G770" s="2029"/>
      <c r="H770" s="1635">
        <f t="shared" si="166"/>
        <v>0</v>
      </c>
    </row>
    <row r="771" spans="1:22" ht="17.100000000000001" customHeight="1">
      <c r="A771" s="1666"/>
      <c r="B771" s="1678"/>
      <c r="C771" s="3594" t="s">
        <v>810</v>
      </c>
      <c r="D771" s="3595"/>
      <c r="E771" s="3075">
        <f>E772</f>
        <v>1031200</v>
      </c>
      <c r="F771" s="3075">
        <f t="shared" ref="F771" si="167">F772</f>
        <v>112463</v>
      </c>
      <c r="G771" s="2030">
        <f t="shared" si="163"/>
        <v>0.10906031807602792</v>
      </c>
      <c r="H771" s="1635">
        <f t="shared" si="166"/>
        <v>0</v>
      </c>
    </row>
    <row r="772" spans="1:22" ht="17.100000000000001" customHeight="1">
      <c r="A772" s="1666"/>
      <c r="B772" s="1678"/>
      <c r="C772" s="3596" t="s">
        <v>811</v>
      </c>
      <c r="D772" s="3597"/>
      <c r="E772" s="2031">
        <f>SUM(E773:E776)</f>
        <v>1031200</v>
      </c>
      <c r="F772" s="2031">
        <f>SUM(F773:F776)</f>
        <v>112463</v>
      </c>
      <c r="G772" s="2029">
        <f t="shared" si="163"/>
        <v>0.10906031807602792</v>
      </c>
      <c r="H772" s="1635">
        <f t="shared" si="166"/>
        <v>0</v>
      </c>
    </row>
    <row r="773" spans="1:22" ht="17.100000000000001" customHeight="1">
      <c r="A773" s="1666"/>
      <c r="B773" s="1678"/>
      <c r="C773" s="2032" t="s">
        <v>920</v>
      </c>
      <c r="D773" s="2033" t="s">
        <v>813</v>
      </c>
      <c r="E773" s="2031">
        <v>31200</v>
      </c>
      <c r="F773" s="2031">
        <f>H773</f>
        <v>112463</v>
      </c>
      <c r="G773" s="2029">
        <f t="shared" si="163"/>
        <v>3.6045833333333333</v>
      </c>
      <c r="H773" s="1635">
        <f t="shared" si="166"/>
        <v>112463</v>
      </c>
      <c r="V773" s="1636">
        <v>112463</v>
      </c>
    </row>
    <row r="774" spans="1:22" ht="39" hidden="1" customHeight="1">
      <c r="A774" s="1666"/>
      <c r="B774" s="1678"/>
      <c r="C774" s="2034" t="s">
        <v>1006</v>
      </c>
      <c r="D774" s="2035" t="s">
        <v>1007</v>
      </c>
      <c r="E774" s="2031">
        <v>905000</v>
      </c>
      <c r="F774" s="2031">
        <f t="shared" ref="F774:F776" si="168">H774</f>
        <v>0</v>
      </c>
      <c r="G774" s="2029">
        <f t="shared" si="163"/>
        <v>0</v>
      </c>
      <c r="H774" s="1635">
        <f t="shared" si="166"/>
        <v>0</v>
      </c>
    </row>
    <row r="775" spans="1:22" ht="39.75" hidden="1" customHeight="1">
      <c r="A775" s="1666"/>
      <c r="B775" s="1678"/>
      <c r="C775" s="2036" t="s">
        <v>1008</v>
      </c>
      <c r="D775" s="2037" t="s">
        <v>1009</v>
      </c>
      <c r="E775" s="2038">
        <v>95000</v>
      </c>
      <c r="F775" s="2039">
        <f t="shared" si="168"/>
        <v>0</v>
      </c>
      <c r="G775" s="1905">
        <f t="shared" si="163"/>
        <v>0</v>
      </c>
      <c r="H775" s="1635">
        <f t="shared" si="166"/>
        <v>0</v>
      </c>
    </row>
    <row r="776" spans="1:22" ht="30" hidden="1" customHeight="1">
      <c r="A776" s="1666"/>
      <c r="B776" s="1678"/>
      <c r="C776" s="2040" t="s">
        <v>906</v>
      </c>
      <c r="D776" s="2041" t="s">
        <v>1010</v>
      </c>
      <c r="E776" s="2039">
        <v>0</v>
      </c>
      <c r="F776" s="2039">
        <f t="shared" si="168"/>
        <v>0</v>
      </c>
      <c r="G776" s="1905" t="e">
        <f t="shared" si="163"/>
        <v>#DIV/0!</v>
      </c>
      <c r="H776" s="1635">
        <f t="shared" si="166"/>
        <v>0</v>
      </c>
    </row>
    <row r="777" spans="1:22" ht="17.100000000000001" customHeight="1">
      <c r="A777" s="1666"/>
      <c r="B777" s="1678"/>
      <c r="C777" s="2042"/>
      <c r="D777" s="2043"/>
      <c r="E777" s="2044"/>
      <c r="F777" s="2044"/>
      <c r="G777" s="1689"/>
      <c r="H777" s="1635">
        <f t="shared" si="166"/>
        <v>0</v>
      </c>
    </row>
    <row r="778" spans="1:22" ht="18.75" customHeight="1">
      <c r="A778" s="1666"/>
      <c r="B778" s="1678"/>
      <c r="C778" s="3598" t="s">
        <v>823</v>
      </c>
      <c r="D778" s="3599"/>
      <c r="E778" s="1904">
        <f>E779+E780</f>
        <v>31200</v>
      </c>
      <c r="F778" s="1904">
        <f>F779+F780</f>
        <v>112463</v>
      </c>
      <c r="G778" s="1905">
        <f t="shared" si="163"/>
        <v>3.6045833333333333</v>
      </c>
      <c r="H778" s="1635">
        <f t="shared" si="166"/>
        <v>0</v>
      </c>
    </row>
    <row r="779" spans="1:22" ht="17.100000000000001" customHeight="1" thickBot="1">
      <c r="A779" s="1666"/>
      <c r="B779" s="1678"/>
      <c r="C779" s="2045" t="s">
        <v>920</v>
      </c>
      <c r="D779" s="2046" t="s">
        <v>813</v>
      </c>
      <c r="E779" s="1904">
        <v>31200</v>
      </c>
      <c r="F779" s="1904">
        <f>H779</f>
        <v>112463</v>
      </c>
      <c r="G779" s="1905">
        <f t="shared" si="163"/>
        <v>3.6045833333333333</v>
      </c>
      <c r="H779" s="1635">
        <f t="shared" si="166"/>
        <v>112463</v>
      </c>
      <c r="V779" s="2047">
        <v>112463</v>
      </c>
    </row>
    <row r="780" spans="1:22" ht="31.5" hidden="1" customHeight="1" thickBot="1">
      <c r="A780" s="1666"/>
      <c r="B780" s="1678"/>
      <c r="C780" s="1706" t="s">
        <v>906</v>
      </c>
      <c r="D780" s="1707" t="s">
        <v>1010</v>
      </c>
      <c r="E780" s="1688">
        <v>0</v>
      </c>
      <c r="F780" s="1904">
        <f>H780</f>
        <v>0</v>
      </c>
      <c r="G780" s="1689" t="e">
        <f t="shared" si="163"/>
        <v>#DIV/0!</v>
      </c>
      <c r="H780" s="1635">
        <f t="shared" si="166"/>
        <v>0</v>
      </c>
    </row>
    <row r="781" spans="1:22" ht="18" customHeight="1" thickBot="1">
      <c r="A781" s="1660" t="s">
        <v>40</v>
      </c>
      <c r="B781" s="1661"/>
      <c r="C781" s="1662"/>
      <c r="D781" s="1663" t="s">
        <v>1011</v>
      </c>
      <c r="E781" s="1664">
        <f>SUM(E782,E800,E819,E923,E934,E1021,E1040,E1006,E919)</f>
        <v>177096389</v>
      </c>
      <c r="F781" s="1664">
        <f>SUM(F782,F800,F819,F923,F934,F1021,F1040,F1006,F919)</f>
        <v>221272568</v>
      </c>
      <c r="G781" s="1665">
        <f t="shared" si="163"/>
        <v>1.249447090646213</v>
      </c>
      <c r="H781" s="1635">
        <f t="shared" si="166"/>
        <v>0</v>
      </c>
    </row>
    <row r="782" spans="1:22" ht="17.100000000000001" customHeight="1" thickBot="1">
      <c r="A782" s="1666"/>
      <c r="B782" s="1734" t="s">
        <v>41</v>
      </c>
      <c r="C782" s="1735"/>
      <c r="D782" s="1736" t="s">
        <v>21</v>
      </c>
      <c r="E782" s="1737">
        <f t="shared" ref="E782:F782" si="169">E783</f>
        <v>1566685</v>
      </c>
      <c r="F782" s="1737">
        <f t="shared" si="169"/>
        <v>1681860</v>
      </c>
      <c r="G782" s="1738">
        <f t="shared" si="163"/>
        <v>1.0735150971637566</v>
      </c>
      <c r="H782" s="1635">
        <f t="shared" si="166"/>
        <v>0</v>
      </c>
    </row>
    <row r="783" spans="1:22" ht="17.100000000000001" customHeight="1">
      <c r="A783" s="1666"/>
      <c r="B783" s="3467"/>
      <c r="C783" s="3472" t="s">
        <v>755</v>
      </c>
      <c r="D783" s="3472"/>
      <c r="E783" s="1672">
        <f>E784+E797</f>
        <v>1566685</v>
      </c>
      <c r="F783" s="1672">
        <f>F784+F797</f>
        <v>1681860</v>
      </c>
      <c r="G783" s="1673">
        <f t="shared" si="163"/>
        <v>1.0735150971637566</v>
      </c>
      <c r="H783" s="1635">
        <f t="shared" si="166"/>
        <v>0</v>
      </c>
    </row>
    <row r="784" spans="1:22" ht="17.100000000000001" customHeight="1">
      <c r="A784" s="1666"/>
      <c r="B784" s="3467"/>
      <c r="C784" s="3600" t="s">
        <v>756</v>
      </c>
      <c r="D784" s="3600"/>
      <c r="E784" s="1904">
        <f>E785+E793</f>
        <v>1551685</v>
      </c>
      <c r="F784" s="1904">
        <f t="shared" ref="F784" si="170">F785+F793</f>
        <v>1681860</v>
      </c>
      <c r="G784" s="1905">
        <f t="shared" si="163"/>
        <v>1.0838926715151593</v>
      </c>
      <c r="H784" s="1635">
        <f t="shared" si="166"/>
        <v>0</v>
      </c>
    </row>
    <row r="785" spans="1:9" ht="17.100000000000001" customHeight="1">
      <c r="A785" s="1666"/>
      <c r="B785" s="3467"/>
      <c r="C785" s="3601" t="s">
        <v>757</v>
      </c>
      <c r="D785" s="3601"/>
      <c r="E785" s="1906">
        <f>SUM(E786:E791)</f>
        <v>1551685</v>
      </c>
      <c r="F785" s="1906">
        <f>SUM(F786:F791)</f>
        <v>1681860</v>
      </c>
      <c r="G785" s="1907">
        <f t="shared" si="163"/>
        <v>1.0838926715151593</v>
      </c>
      <c r="H785" s="1635">
        <f t="shared" si="166"/>
        <v>0</v>
      </c>
    </row>
    <row r="786" spans="1:9" ht="17.100000000000001" customHeight="1">
      <c r="A786" s="1666"/>
      <c r="B786" s="3467"/>
      <c r="C786" s="2045" t="s">
        <v>758</v>
      </c>
      <c r="D786" s="2046" t="s">
        <v>759</v>
      </c>
      <c r="E786" s="1904">
        <v>1216682</v>
      </c>
      <c r="F786" s="1904">
        <f>H786</f>
        <v>1306500</v>
      </c>
      <c r="G786" s="1905">
        <f t="shared" si="163"/>
        <v>1.0738220833381278</v>
      </c>
      <c r="H786" s="1635">
        <f t="shared" si="166"/>
        <v>1306500</v>
      </c>
      <c r="I786" s="1636">
        <v>1306500</v>
      </c>
    </row>
    <row r="787" spans="1:9" ht="17.100000000000001" customHeight="1">
      <c r="A787" s="1666"/>
      <c r="B787" s="3467"/>
      <c r="C787" s="2045" t="s">
        <v>760</v>
      </c>
      <c r="D787" s="2046" t="s">
        <v>761</v>
      </c>
      <c r="E787" s="1904">
        <v>79382</v>
      </c>
      <c r="F787" s="1904">
        <f t="shared" ref="F787:F791" si="171">H787</f>
        <v>90066</v>
      </c>
      <c r="G787" s="1905">
        <f t="shared" si="163"/>
        <v>1.1345897054747929</v>
      </c>
      <c r="H787" s="1635">
        <f t="shared" si="166"/>
        <v>90066</v>
      </c>
      <c r="I787" s="1636">
        <v>90066</v>
      </c>
    </row>
    <row r="788" spans="1:9" ht="17.100000000000001" customHeight="1">
      <c r="A788" s="1666"/>
      <c r="B788" s="1678"/>
      <c r="C788" s="2045" t="s">
        <v>762</v>
      </c>
      <c r="D788" s="2046" t="s">
        <v>763</v>
      </c>
      <c r="E788" s="1904">
        <v>215166</v>
      </c>
      <c r="F788" s="1904">
        <f t="shared" si="171"/>
        <v>240069</v>
      </c>
      <c r="G788" s="1905">
        <f t="shared" si="163"/>
        <v>1.1157385460528151</v>
      </c>
      <c r="H788" s="1635">
        <f t="shared" si="166"/>
        <v>240069</v>
      </c>
      <c r="I788" s="1636">
        <v>240069</v>
      </c>
    </row>
    <row r="789" spans="1:9" ht="28.5" customHeight="1">
      <c r="A789" s="1666"/>
      <c r="B789" s="1678"/>
      <c r="C789" s="2045" t="s">
        <v>764</v>
      </c>
      <c r="D789" s="2046" t="s">
        <v>1440</v>
      </c>
      <c r="E789" s="1904">
        <v>28155</v>
      </c>
      <c r="F789" s="1904">
        <f t="shared" si="171"/>
        <v>34225</v>
      </c>
      <c r="G789" s="1905">
        <f t="shared" si="163"/>
        <v>1.2155922571479312</v>
      </c>
      <c r="H789" s="1635">
        <f t="shared" si="166"/>
        <v>34225</v>
      </c>
      <c r="I789" s="1636">
        <v>34225</v>
      </c>
    </row>
    <row r="790" spans="1:9" ht="18" customHeight="1">
      <c r="A790" s="1666"/>
      <c r="B790" s="1678"/>
      <c r="C790" s="2045" t="s">
        <v>766</v>
      </c>
      <c r="D790" s="2046" t="s">
        <v>767</v>
      </c>
      <c r="E790" s="1904">
        <v>5000</v>
      </c>
      <c r="F790" s="1904">
        <f t="shared" si="171"/>
        <v>5000</v>
      </c>
      <c r="G790" s="1905">
        <f t="shared" si="163"/>
        <v>1</v>
      </c>
      <c r="H790" s="1635">
        <f t="shared" si="166"/>
        <v>5000</v>
      </c>
      <c r="I790" s="1636">
        <v>5000</v>
      </c>
    </row>
    <row r="791" spans="1:9" ht="18" customHeight="1" thickBot="1">
      <c r="A791" s="1666"/>
      <c r="B791" s="1678"/>
      <c r="C791" s="2045" t="s">
        <v>768</v>
      </c>
      <c r="D791" s="2046" t="s">
        <v>769</v>
      </c>
      <c r="E791" s="1904">
        <v>7300</v>
      </c>
      <c r="F791" s="1904">
        <f t="shared" si="171"/>
        <v>6000</v>
      </c>
      <c r="G791" s="1905">
        <f t="shared" si="163"/>
        <v>0.82191780821917804</v>
      </c>
      <c r="H791" s="1635">
        <f t="shared" si="166"/>
        <v>6000</v>
      </c>
      <c r="I791" s="1636">
        <v>6000</v>
      </c>
    </row>
    <row r="792" spans="1:9" ht="17.100000000000001" hidden="1" customHeight="1">
      <c r="A792" s="1666"/>
      <c r="B792" s="1678"/>
      <c r="C792" s="1699"/>
      <c r="D792" s="1699"/>
      <c r="E792" s="1683"/>
      <c r="F792" s="1683"/>
      <c r="G792" s="1684"/>
      <c r="H792" s="1635">
        <f t="shared" si="166"/>
        <v>0</v>
      </c>
    </row>
    <row r="793" spans="1:9" ht="17.100000000000001" hidden="1" customHeight="1">
      <c r="A793" s="1666"/>
      <c r="B793" s="1678"/>
      <c r="C793" s="3598" t="s">
        <v>770</v>
      </c>
      <c r="D793" s="3598"/>
      <c r="E793" s="1906">
        <f>SUM(E794:E795)</f>
        <v>0</v>
      </c>
      <c r="F793" s="1906">
        <f>SUM(F794:F795)</f>
        <v>0</v>
      </c>
      <c r="G793" s="1907" t="e">
        <f t="shared" si="163"/>
        <v>#DIV/0!</v>
      </c>
      <c r="H793" s="1635">
        <f t="shared" si="166"/>
        <v>0</v>
      </c>
    </row>
    <row r="794" spans="1:9" ht="17.100000000000001" hidden="1" customHeight="1">
      <c r="A794" s="1666"/>
      <c r="B794" s="1678"/>
      <c r="C794" s="2045" t="s">
        <v>771</v>
      </c>
      <c r="D794" s="2046" t="s">
        <v>772</v>
      </c>
      <c r="E794" s="1904"/>
      <c r="F794" s="1904">
        <f>H794</f>
        <v>0</v>
      </c>
      <c r="G794" s="1905" t="e">
        <f t="shared" si="163"/>
        <v>#DIV/0!</v>
      </c>
      <c r="H794" s="1635">
        <f t="shared" si="166"/>
        <v>0</v>
      </c>
    </row>
    <row r="795" spans="1:9" ht="17.100000000000001" hidden="1" customHeight="1">
      <c r="A795" s="1666"/>
      <c r="B795" s="1678"/>
      <c r="C795" s="1706" t="s">
        <v>795</v>
      </c>
      <c r="D795" s="1707" t="s">
        <v>796</v>
      </c>
      <c r="E795" s="1904"/>
      <c r="F795" s="1904">
        <f>H795</f>
        <v>0</v>
      </c>
      <c r="G795" s="1689" t="e">
        <f t="shared" si="163"/>
        <v>#DIV/0!</v>
      </c>
      <c r="H795" s="1635">
        <f t="shared" si="166"/>
        <v>0</v>
      </c>
    </row>
    <row r="796" spans="1:9" ht="17.100000000000001" hidden="1" customHeight="1">
      <c r="A796" s="1666"/>
      <c r="B796" s="1678"/>
      <c r="C796" s="2045"/>
      <c r="D796" s="2046"/>
      <c r="E796" s="1904"/>
      <c r="F796" s="1904"/>
      <c r="G796" s="1905"/>
      <c r="H796" s="1635">
        <f t="shared" si="166"/>
        <v>0</v>
      </c>
    </row>
    <row r="797" spans="1:9" ht="17.100000000000001" hidden="1" customHeight="1">
      <c r="A797" s="1666"/>
      <c r="B797" s="1678"/>
      <c r="C797" s="3609" t="s">
        <v>857</v>
      </c>
      <c r="D797" s="3609"/>
      <c r="E797" s="1904">
        <f>E798</f>
        <v>15000</v>
      </c>
      <c r="F797" s="1904">
        <f>F798</f>
        <v>0</v>
      </c>
      <c r="G797" s="1905">
        <f t="shared" si="163"/>
        <v>0</v>
      </c>
      <c r="H797" s="1635">
        <f t="shared" si="166"/>
        <v>0</v>
      </c>
    </row>
    <row r="798" spans="1:9" ht="32.25" hidden="1" customHeight="1" thickBot="1">
      <c r="A798" s="1666"/>
      <c r="B798" s="1678"/>
      <c r="C798" s="2045" t="s">
        <v>394</v>
      </c>
      <c r="D798" s="2046" t="s">
        <v>978</v>
      </c>
      <c r="E798" s="1904">
        <v>15000</v>
      </c>
      <c r="F798" s="1904">
        <f>H798</f>
        <v>0</v>
      </c>
      <c r="G798" s="1905">
        <f t="shared" si="163"/>
        <v>0</v>
      </c>
      <c r="H798" s="1635">
        <f t="shared" si="166"/>
        <v>0</v>
      </c>
    </row>
    <row r="799" spans="1:9" ht="17.100000000000001" hidden="1" customHeight="1" thickBot="1">
      <c r="A799" s="1666"/>
      <c r="B799" s="1678"/>
      <c r="C799" s="2045"/>
      <c r="D799" s="2046"/>
      <c r="E799" s="1904"/>
      <c r="F799" s="1904"/>
      <c r="G799" s="1905"/>
    </row>
    <row r="800" spans="1:9" ht="17.100000000000001" customHeight="1" thickBot="1">
      <c r="A800" s="1666"/>
      <c r="B800" s="1734" t="s">
        <v>1012</v>
      </c>
      <c r="C800" s="1735"/>
      <c r="D800" s="1736" t="s">
        <v>1013</v>
      </c>
      <c r="E800" s="1737">
        <f>E801+E816</f>
        <v>1112591</v>
      </c>
      <c r="F800" s="1737">
        <f t="shared" ref="F800" si="172">F801+F816</f>
        <v>1369227</v>
      </c>
      <c r="G800" s="1738">
        <f t="shared" si="163"/>
        <v>1.2306651770506862</v>
      </c>
      <c r="H800" s="1635">
        <f t="shared" si="166"/>
        <v>0</v>
      </c>
    </row>
    <row r="801" spans="1:25" ht="17.100000000000001" customHeight="1">
      <c r="A801" s="1666"/>
      <c r="B801" s="1678"/>
      <c r="C801" s="3472" t="s">
        <v>755</v>
      </c>
      <c r="D801" s="3472"/>
      <c r="E801" s="1672">
        <f t="shared" ref="E801:F801" si="173">E802+E813</f>
        <v>1112591</v>
      </c>
      <c r="F801" s="1672">
        <f t="shared" si="173"/>
        <v>1369227</v>
      </c>
      <c r="G801" s="1673">
        <f t="shared" si="163"/>
        <v>1.2306651770506862</v>
      </c>
      <c r="H801" s="1635">
        <f t="shared" si="166"/>
        <v>0</v>
      </c>
    </row>
    <row r="802" spans="1:25" ht="17.100000000000001" customHeight="1">
      <c r="A802" s="1666"/>
      <c r="B802" s="1678"/>
      <c r="C802" s="3600" t="s">
        <v>756</v>
      </c>
      <c r="D802" s="3600"/>
      <c r="E802" s="1904">
        <f t="shared" ref="E802:F802" si="174">E803+E806</f>
        <v>234026</v>
      </c>
      <c r="F802" s="1904">
        <f t="shared" si="174"/>
        <v>168987</v>
      </c>
      <c r="G802" s="1905">
        <f t="shared" si="163"/>
        <v>0.72208643484057322</v>
      </c>
      <c r="H802" s="1635">
        <f t="shared" si="166"/>
        <v>0</v>
      </c>
    </row>
    <row r="803" spans="1:25" ht="17.100000000000001" customHeight="1">
      <c r="A803" s="1666"/>
      <c r="B803" s="1678"/>
      <c r="C803" s="3601" t="s">
        <v>757</v>
      </c>
      <c r="D803" s="3601"/>
      <c r="E803" s="1906">
        <f t="shared" ref="E803:F803" si="175">E804</f>
        <v>2000</v>
      </c>
      <c r="F803" s="1906">
        <f t="shared" si="175"/>
        <v>2100</v>
      </c>
      <c r="G803" s="1907">
        <f t="shared" si="163"/>
        <v>1.05</v>
      </c>
      <c r="H803" s="1635">
        <f t="shared" si="166"/>
        <v>0</v>
      </c>
    </row>
    <row r="804" spans="1:25" ht="17.100000000000001" customHeight="1">
      <c r="A804" s="1666"/>
      <c r="B804" s="1678"/>
      <c r="C804" s="2045" t="s">
        <v>766</v>
      </c>
      <c r="D804" s="2046" t="s">
        <v>767</v>
      </c>
      <c r="E804" s="1904">
        <v>2000</v>
      </c>
      <c r="F804" s="1904">
        <f>H804</f>
        <v>2100</v>
      </c>
      <c r="G804" s="1905">
        <f t="shared" si="163"/>
        <v>1.05</v>
      </c>
      <c r="H804" s="1635">
        <f t="shared" si="166"/>
        <v>2100</v>
      </c>
      <c r="Y804" s="1636">
        <v>2100</v>
      </c>
    </row>
    <row r="805" spans="1:25" ht="17.100000000000001" customHeight="1">
      <c r="A805" s="1666"/>
      <c r="B805" s="1678"/>
      <c r="C805" s="1699"/>
      <c r="D805" s="1699"/>
      <c r="E805" s="1683"/>
      <c r="F805" s="1683"/>
      <c r="G805" s="1684"/>
      <c r="H805" s="1635">
        <f t="shared" si="166"/>
        <v>0</v>
      </c>
    </row>
    <row r="806" spans="1:25" ht="17.100000000000001" customHeight="1">
      <c r="A806" s="1666"/>
      <c r="B806" s="1678"/>
      <c r="C806" s="3598" t="s">
        <v>770</v>
      </c>
      <c r="D806" s="3598"/>
      <c r="E806" s="1906">
        <f t="shared" ref="E806:F806" si="176">SUM(E807:E811)</f>
        <v>232026</v>
      </c>
      <c r="F806" s="1906">
        <f t="shared" si="176"/>
        <v>166887</v>
      </c>
      <c r="G806" s="1907">
        <f t="shared" si="163"/>
        <v>0.71925991052726845</v>
      </c>
      <c r="H806" s="1635">
        <f t="shared" si="166"/>
        <v>0</v>
      </c>
    </row>
    <row r="807" spans="1:25" ht="17.100000000000001" customHeight="1">
      <c r="A807" s="1666"/>
      <c r="B807" s="1678"/>
      <c r="C807" s="2045" t="s">
        <v>773</v>
      </c>
      <c r="D807" s="2046" t="s">
        <v>774</v>
      </c>
      <c r="E807" s="1904">
        <v>57326</v>
      </c>
      <c r="F807" s="1904">
        <f>H807</f>
        <v>48746</v>
      </c>
      <c r="G807" s="1905">
        <f t="shared" si="163"/>
        <v>0.85032969333286812</v>
      </c>
      <c r="H807" s="1635">
        <f t="shared" si="166"/>
        <v>48746</v>
      </c>
      <c r="Y807" s="1636">
        <v>48746</v>
      </c>
    </row>
    <row r="808" spans="1:25" ht="17.100000000000001" customHeight="1">
      <c r="A808" s="1666"/>
      <c r="B808" s="1678"/>
      <c r="C808" s="2045" t="s">
        <v>775</v>
      </c>
      <c r="D808" s="2046" t="s">
        <v>776</v>
      </c>
      <c r="E808" s="1904">
        <v>12200</v>
      </c>
      <c r="F808" s="1904">
        <f t="shared" ref="F808:F811" si="177">H808</f>
        <v>12566</v>
      </c>
      <c r="G808" s="1905">
        <f t="shared" si="163"/>
        <v>1.03</v>
      </c>
      <c r="H808" s="1635">
        <f t="shared" si="166"/>
        <v>12566</v>
      </c>
      <c r="Y808" s="1636">
        <v>12566</v>
      </c>
    </row>
    <row r="809" spans="1:25" ht="17.100000000000001" customHeight="1">
      <c r="A809" s="1666"/>
      <c r="B809" s="1678"/>
      <c r="C809" s="2048" t="s">
        <v>779</v>
      </c>
      <c r="D809" s="2046" t="s">
        <v>780</v>
      </c>
      <c r="E809" s="1904">
        <v>4000</v>
      </c>
      <c r="F809" s="1904">
        <f t="shared" si="177"/>
        <v>4120</v>
      </c>
      <c r="G809" s="1905">
        <f t="shared" si="163"/>
        <v>1.03</v>
      </c>
      <c r="H809" s="1635">
        <f t="shared" si="166"/>
        <v>4120</v>
      </c>
      <c r="Y809" s="1636">
        <v>4120</v>
      </c>
    </row>
    <row r="810" spans="1:25" ht="17.100000000000001" customHeight="1">
      <c r="A810" s="1666"/>
      <c r="B810" s="1678"/>
      <c r="C810" s="2045" t="s">
        <v>783</v>
      </c>
      <c r="D810" s="2046" t="s">
        <v>784</v>
      </c>
      <c r="E810" s="1904">
        <v>153400</v>
      </c>
      <c r="F810" s="1904">
        <f t="shared" si="177"/>
        <v>96202</v>
      </c>
      <c r="G810" s="1905">
        <f t="shared" si="163"/>
        <v>0.62713168187744461</v>
      </c>
      <c r="H810" s="1635">
        <f t="shared" si="166"/>
        <v>96202</v>
      </c>
      <c r="Y810" s="1636">
        <v>96202</v>
      </c>
    </row>
    <row r="811" spans="1:25" ht="17.100000000000001" customHeight="1">
      <c r="A811" s="1666"/>
      <c r="B811" s="1678"/>
      <c r="C811" s="2045" t="s">
        <v>785</v>
      </c>
      <c r="D811" s="2046" t="s">
        <v>786</v>
      </c>
      <c r="E811" s="1904">
        <v>5100</v>
      </c>
      <c r="F811" s="1904">
        <f t="shared" si="177"/>
        <v>5253</v>
      </c>
      <c r="G811" s="1905">
        <f t="shared" si="163"/>
        <v>1.03</v>
      </c>
      <c r="H811" s="1635">
        <f t="shared" si="166"/>
        <v>5253</v>
      </c>
      <c r="Y811" s="1636">
        <v>5253</v>
      </c>
    </row>
    <row r="812" spans="1:25" ht="17.100000000000001" customHeight="1">
      <c r="A812" s="1666"/>
      <c r="B812" s="1678"/>
      <c r="C812" s="1991"/>
      <c r="D812" s="1797"/>
      <c r="E812" s="1798"/>
      <c r="F812" s="1798"/>
      <c r="G812" s="1784"/>
      <c r="H812" s="1635">
        <f t="shared" si="166"/>
        <v>0</v>
      </c>
    </row>
    <row r="813" spans="1:25" ht="17.100000000000001" customHeight="1">
      <c r="A813" s="1666"/>
      <c r="B813" s="1678"/>
      <c r="C813" s="3486" t="s">
        <v>807</v>
      </c>
      <c r="D813" s="3486"/>
      <c r="E813" s="1749">
        <f t="shared" ref="E813:F813" si="178">E814</f>
        <v>878565</v>
      </c>
      <c r="F813" s="1749">
        <f t="shared" si="178"/>
        <v>1200240</v>
      </c>
      <c r="G813" s="1750">
        <f t="shared" si="163"/>
        <v>1.3661368253914052</v>
      </c>
      <c r="H813" s="1635">
        <f t="shared" si="166"/>
        <v>0</v>
      </c>
    </row>
    <row r="814" spans="1:25" ht="17.100000000000001" customHeight="1" thickBot="1">
      <c r="A814" s="1666"/>
      <c r="B814" s="1678"/>
      <c r="C814" s="2049" t="s">
        <v>1014</v>
      </c>
      <c r="D814" s="2050" t="s">
        <v>1015</v>
      </c>
      <c r="E814" s="1940">
        <v>878565</v>
      </c>
      <c r="F814" s="1940">
        <f>H814</f>
        <v>1200240</v>
      </c>
      <c r="G814" s="1941">
        <f t="shared" si="163"/>
        <v>1.3661368253914052</v>
      </c>
      <c r="H814" s="1635">
        <f t="shared" si="166"/>
        <v>1200240</v>
      </c>
      <c r="Y814" s="1636">
        <v>1200240</v>
      </c>
    </row>
    <row r="815" spans="1:25" ht="17.100000000000001" hidden="1" customHeight="1">
      <c r="A815" s="1666"/>
      <c r="B815" s="1678"/>
      <c r="C815" s="3602"/>
      <c r="D815" s="3603"/>
      <c r="E815" s="2051"/>
      <c r="F815" s="2051"/>
      <c r="G815" s="2052"/>
      <c r="H815" s="1635">
        <f t="shared" si="166"/>
        <v>0</v>
      </c>
    </row>
    <row r="816" spans="1:25" ht="17.100000000000001" hidden="1" customHeight="1">
      <c r="A816" s="1666"/>
      <c r="B816" s="1678"/>
      <c r="C816" s="3604" t="s">
        <v>810</v>
      </c>
      <c r="D816" s="3605"/>
      <c r="E816" s="2053">
        <f>E817</f>
        <v>0</v>
      </c>
      <c r="F816" s="2053">
        <f t="shared" ref="F816" si="179">F817</f>
        <v>0</v>
      </c>
      <c r="G816" s="2054" t="e">
        <f t="shared" si="163"/>
        <v>#DIV/0!</v>
      </c>
      <c r="H816" s="1635">
        <f t="shared" si="166"/>
        <v>0</v>
      </c>
    </row>
    <row r="817" spans="1:27" ht="17.100000000000001" hidden="1" customHeight="1">
      <c r="A817" s="1666"/>
      <c r="B817" s="1678"/>
      <c r="C817" s="3606" t="s">
        <v>811</v>
      </c>
      <c r="D817" s="3607"/>
      <c r="E817" s="2039">
        <f>SUM(E818)</f>
        <v>0</v>
      </c>
      <c r="F817" s="2039">
        <f t="shared" ref="F817" si="180">SUM(F818)</f>
        <v>0</v>
      </c>
      <c r="G817" s="1905" t="e">
        <f t="shared" si="163"/>
        <v>#DIV/0!</v>
      </c>
      <c r="H817" s="1635">
        <f t="shared" si="166"/>
        <v>0</v>
      </c>
    </row>
    <row r="818" spans="1:27" ht="17.100000000000001" hidden="1" customHeight="1" thickBot="1">
      <c r="A818" s="1666"/>
      <c r="B818" s="1678"/>
      <c r="C818" s="2055" t="s">
        <v>812</v>
      </c>
      <c r="D818" s="2056" t="s">
        <v>861</v>
      </c>
      <c r="E818" s="2057">
        <v>0</v>
      </c>
      <c r="F818" s="2057">
        <f>H818</f>
        <v>0</v>
      </c>
      <c r="G818" s="2052" t="e">
        <f t="shared" si="163"/>
        <v>#DIV/0!</v>
      </c>
      <c r="H818" s="1635">
        <f t="shared" si="166"/>
        <v>0</v>
      </c>
    </row>
    <row r="819" spans="1:27" ht="17.100000000000001" customHeight="1" thickBot="1">
      <c r="A819" s="1666"/>
      <c r="B819" s="1734" t="s">
        <v>1016</v>
      </c>
      <c r="C819" s="1735"/>
      <c r="D819" s="1736" t="s">
        <v>478</v>
      </c>
      <c r="E819" s="1737">
        <f>E820+E902</f>
        <v>108798955</v>
      </c>
      <c r="F819" s="1737">
        <f t="shared" ref="F819" si="181">F820+F902</f>
        <v>155024490</v>
      </c>
      <c r="G819" s="1738">
        <f t="shared" si="163"/>
        <v>1.424871130425839</v>
      </c>
      <c r="H819" s="1635">
        <f t="shared" si="166"/>
        <v>0</v>
      </c>
    </row>
    <row r="820" spans="1:27" ht="17.100000000000001" customHeight="1">
      <c r="A820" s="1666"/>
      <c r="B820" s="1678"/>
      <c r="C820" s="3497" t="s">
        <v>1017</v>
      </c>
      <c r="D820" s="3497"/>
      <c r="E820" s="1672">
        <f>E821+E855+E858</f>
        <v>101426030</v>
      </c>
      <c r="F820" s="1672">
        <f>F821+F855+F858</f>
        <v>150691538</v>
      </c>
      <c r="G820" s="1673">
        <f t="shared" si="163"/>
        <v>1.4857284466324867</v>
      </c>
      <c r="H820" s="1635">
        <f t="shared" si="166"/>
        <v>0</v>
      </c>
    </row>
    <row r="821" spans="1:27" ht="17.100000000000001" customHeight="1">
      <c r="A821" s="1666"/>
      <c r="B821" s="1678"/>
      <c r="C821" s="3608" t="s">
        <v>756</v>
      </c>
      <c r="D821" s="3608"/>
      <c r="E821" s="1749">
        <f>E822+E830</f>
        <v>62583406</v>
      </c>
      <c r="F821" s="1749">
        <f>F822+F830</f>
        <v>106951428</v>
      </c>
      <c r="G821" s="1750">
        <f t="shared" si="163"/>
        <v>1.7089422713746196</v>
      </c>
      <c r="H821" s="1635">
        <f t="shared" ref="H821:H887" si="182">SUM(I821:AE821)</f>
        <v>0</v>
      </c>
    </row>
    <row r="822" spans="1:27" ht="17.100000000000001" customHeight="1">
      <c r="A822" s="1666"/>
      <c r="B822" s="1678"/>
      <c r="C822" s="3612" t="s">
        <v>757</v>
      </c>
      <c r="D822" s="3612"/>
      <c r="E822" s="1833">
        <f>SUM(E823:E828)</f>
        <v>50371135</v>
      </c>
      <c r="F822" s="1833">
        <f>SUM(F823:F828)</f>
        <v>86335332</v>
      </c>
      <c r="G822" s="1835">
        <f t="shared" si="163"/>
        <v>1.7139842491141009</v>
      </c>
      <c r="H822" s="1635">
        <f t="shared" si="182"/>
        <v>0</v>
      </c>
    </row>
    <row r="823" spans="1:27" ht="17.100000000000001" customHeight="1">
      <c r="A823" s="1666"/>
      <c r="B823" s="1678"/>
      <c r="C823" s="2058" t="s">
        <v>758</v>
      </c>
      <c r="D823" s="2059" t="s">
        <v>759</v>
      </c>
      <c r="E823" s="1904">
        <v>39022201</v>
      </c>
      <c r="F823" s="1904">
        <f>H823</f>
        <v>67465108</v>
      </c>
      <c r="G823" s="1905">
        <f t="shared" si="163"/>
        <v>1.7288903821698833</v>
      </c>
      <c r="H823" s="1635">
        <f t="shared" si="182"/>
        <v>67465108</v>
      </c>
      <c r="I823" s="1636">
        <v>50058729</v>
      </c>
      <c r="R823" s="1636">
        <v>347841</v>
      </c>
      <c r="AA823" s="1637">
        <v>17058538</v>
      </c>
    </row>
    <row r="824" spans="1:27" ht="17.100000000000001" customHeight="1">
      <c r="A824" s="1666"/>
      <c r="B824" s="1678"/>
      <c r="C824" s="2058" t="s">
        <v>760</v>
      </c>
      <c r="D824" s="2059" t="s">
        <v>761</v>
      </c>
      <c r="E824" s="1904">
        <v>2987298</v>
      </c>
      <c r="F824" s="1904">
        <f t="shared" ref="F824:F828" si="183">H824</f>
        <v>4403328</v>
      </c>
      <c r="G824" s="1905">
        <f t="shared" si="163"/>
        <v>1.4740169879268825</v>
      </c>
      <c r="H824" s="1635">
        <f t="shared" si="182"/>
        <v>4403328</v>
      </c>
      <c r="I824" s="1636">
        <v>3178066</v>
      </c>
      <c r="R824" s="1636">
        <v>45710</v>
      </c>
      <c r="AA824" s="1637">
        <v>1179552</v>
      </c>
    </row>
    <row r="825" spans="1:27" ht="17.100000000000001" customHeight="1">
      <c r="A825" s="1666"/>
      <c r="B825" s="1678"/>
      <c r="C825" s="2058" t="s">
        <v>762</v>
      </c>
      <c r="D825" s="2059" t="s">
        <v>763</v>
      </c>
      <c r="E825" s="1904">
        <v>7084613</v>
      </c>
      <c r="F825" s="1904">
        <f t="shared" si="183"/>
        <v>12332906</v>
      </c>
      <c r="G825" s="1905">
        <f t="shared" si="163"/>
        <v>1.7408016499983838</v>
      </c>
      <c r="H825" s="1635">
        <f t="shared" si="182"/>
        <v>12332906</v>
      </c>
      <c r="I825" s="1636">
        <v>9056079</v>
      </c>
      <c r="R825" s="1636">
        <v>70568</v>
      </c>
      <c r="AA825" s="1637">
        <v>3206259</v>
      </c>
    </row>
    <row r="826" spans="1:27" ht="27" customHeight="1">
      <c r="A826" s="1666"/>
      <c r="B826" s="1678"/>
      <c r="C826" s="2058" t="s">
        <v>764</v>
      </c>
      <c r="D826" s="2059" t="s">
        <v>1440</v>
      </c>
      <c r="E826" s="1904">
        <v>1030923</v>
      </c>
      <c r="F826" s="1904">
        <f t="shared" si="183"/>
        <v>1746129</v>
      </c>
      <c r="G826" s="1905">
        <f t="shared" si="163"/>
        <v>1.6937530737019157</v>
      </c>
      <c r="H826" s="1635">
        <f t="shared" si="182"/>
        <v>1746129</v>
      </c>
      <c r="I826" s="1636">
        <v>1294430</v>
      </c>
      <c r="R826" s="1636">
        <v>4863</v>
      </c>
      <c r="AA826" s="1637">
        <v>446836</v>
      </c>
    </row>
    <row r="827" spans="1:27" ht="17.100000000000001" customHeight="1">
      <c r="A827" s="1666"/>
      <c r="B827" s="1678"/>
      <c r="C827" s="2058" t="s">
        <v>766</v>
      </c>
      <c r="D827" s="2059" t="s">
        <v>767</v>
      </c>
      <c r="E827" s="1904">
        <v>146100</v>
      </c>
      <c r="F827" s="1904">
        <f t="shared" si="183"/>
        <v>87745</v>
      </c>
      <c r="G827" s="1905">
        <f t="shared" ref="G827:G902" si="184">F827/E827</f>
        <v>0.60058179329226558</v>
      </c>
      <c r="H827" s="1635">
        <f t="shared" si="182"/>
        <v>87745</v>
      </c>
      <c r="I827" s="1636">
        <v>51000</v>
      </c>
      <c r="R827" s="1636">
        <v>19500</v>
      </c>
      <c r="AA827" s="1637">
        <v>17245</v>
      </c>
    </row>
    <row r="828" spans="1:27" ht="17.100000000000001" customHeight="1">
      <c r="A828" s="1666"/>
      <c r="B828" s="1678"/>
      <c r="C828" s="2058" t="s">
        <v>768</v>
      </c>
      <c r="D828" s="2059" t="s">
        <v>769</v>
      </c>
      <c r="E828" s="1904">
        <v>100000</v>
      </c>
      <c r="F828" s="1904">
        <f t="shared" si="183"/>
        <v>300116</v>
      </c>
      <c r="G828" s="1905">
        <f t="shared" si="184"/>
        <v>3.00116</v>
      </c>
      <c r="H828" s="1635">
        <f t="shared" si="182"/>
        <v>300116</v>
      </c>
      <c r="I828" s="1636">
        <v>250000</v>
      </c>
      <c r="R828" s="1636">
        <v>10116</v>
      </c>
      <c r="AA828" s="1637">
        <v>40000</v>
      </c>
    </row>
    <row r="829" spans="1:27" ht="17.100000000000001" customHeight="1" thickBot="1">
      <c r="A829" s="1792"/>
      <c r="B829" s="3183"/>
      <c r="C829" s="3189"/>
      <c r="D829" s="3070"/>
      <c r="E829" s="2766"/>
      <c r="F829" s="2766"/>
      <c r="G829" s="1784"/>
      <c r="H829" s="1635">
        <f t="shared" si="182"/>
        <v>0</v>
      </c>
    </row>
    <row r="830" spans="1:27" ht="17.100000000000001" customHeight="1">
      <c r="A830" s="1666"/>
      <c r="B830" s="1678"/>
      <c r="C830" s="3613" t="s">
        <v>770</v>
      </c>
      <c r="D830" s="3614"/>
      <c r="E830" s="3089">
        <f>SUM(E831:E853)</f>
        <v>12212271</v>
      </c>
      <c r="F830" s="3089">
        <f>SUM(F831:F853)</f>
        <v>20616096</v>
      </c>
      <c r="G830" s="1907">
        <f t="shared" si="184"/>
        <v>1.6881459640062033</v>
      </c>
      <c r="H830" s="1635">
        <f t="shared" si="182"/>
        <v>0</v>
      </c>
    </row>
    <row r="831" spans="1:27" ht="17.100000000000001" customHeight="1">
      <c r="A831" s="1666"/>
      <c r="B831" s="1678"/>
      <c r="C831" s="2060" t="s">
        <v>771</v>
      </c>
      <c r="D831" s="2059" t="s">
        <v>772</v>
      </c>
      <c r="E831" s="1749">
        <v>134900</v>
      </c>
      <c r="F831" s="1749">
        <f>H831</f>
        <v>684900</v>
      </c>
      <c r="G831" s="1750">
        <f t="shared" si="184"/>
        <v>5.0770941438102302</v>
      </c>
      <c r="H831" s="1635">
        <f t="shared" si="182"/>
        <v>684900</v>
      </c>
      <c r="I831" s="1636">
        <v>504900</v>
      </c>
      <c r="AA831" s="1637">
        <v>180000</v>
      </c>
    </row>
    <row r="832" spans="1:27" ht="17.100000000000001" customHeight="1">
      <c r="A832" s="1666"/>
      <c r="B832" s="1678"/>
      <c r="C832" s="2058" t="s">
        <v>773</v>
      </c>
      <c r="D832" s="2059" t="s">
        <v>774</v>
      </c>
      <c r="E832" s="1749">
        <f>40000+3110179</f>
        <v>3150179</v>
      </c>
      <c r="F832" s="1749">
        <f t="shared" ref="F832:F853" si="185">H832</f>
        <v>5593613</v>
      </c>
      <c r="G832" s="1750">
        <f t="shared" si="184"/>
        <v>1.7756492567565207</v>
      </c>
      <c r="H832" s="1635">
        <f t="shared" si="182"/>
        <v>5593613</v>
      </c>
      <c r="I832" s="1636">
        <v>4585000</v>
      </c>
      <c r="R832" s="1636">
        <v>39613</v>
      </c>
      <c r="Z832" s="2061">
        <v>45000</v>
      </c>
      <c r="AA832" s="1637">
        <v>924000</v>
      </c>
    </row>
    <row r="833" spans="1:27" ht="17.100000000000001" customHeight="1">
      <c r="A833" s="1666"/>
      <c r="B833" s="1678"/>
      <c r="C833" s="2058" t="s">
        <v>775</v>
      </c>
      <c r="D833" s="2059" t="s">
        <v>776</v>
      </c>
      <c r="E833" s="1749">
        <v>81600</v>
      </c>
      <c r="F833" s="1749">
        <f t="shared" si="185"/>
        <v>105100</v>
      </c>
      <c r="G833" s="1750">
        <f t="shared" si="184"/>
        <v>1.2879901960784315</v>
      </c>
      <c r="H833" s="1635">
        <f t="shared" si="182"/>
        <v>105100</v>
      </c>
      <c r="I833" s="1636">
        <v>81600</v>
      </c>
      <c r="R833" s="1636">
        <v>500</v>
      </c>
      <c r="AA833" s="1637">
        <v>23000</v>
      </c>
    </row>
    <row r="834" spans="1:27" ht="17.100000000000001" customHeight="1">
      <c r="A834" s="1666"/>
      <c r="B834" s="1678"/>
      <c r="C834" s="2058" t="s">
        <v>777</v>
      </c>
      <c r="D834" s="2059" t="s">
        <v>778</v>
      </c>
      <c r="E834" s="1749">
        <v>2096000</v>
      </c>
      <c r="F834" s="1749">
        <f t="shared" si="185"/>
        <v>3107000</v>
      </c>
      <c r="G834" s="1750">
        <f t="shared" si="184"/>
        <v>1.4823473282442747</v>
      </c>
      <c r="H834" s="1635">
        <f t="shared" si="182"/>
        <v>3107000</v>
      </c>
      <c r="I834" s="1636">
        <v>2543000</v>
      </c>
      <c r="R834" s="1636">
        <v>41000</v>
      </c>
      <c r="AA834" s="1637">
        <v>523000</v>
      </c>
    </row>
    <row r="835" spans="1:27" ht="17.100000000000001" customHeight="1">
      <c r="A835" s="3039"/>
      <c r="B835" s="3038"/>
      <c r="C835" s="3079" t="s">
        <v>779</v>
      </c>
      <c r="D835" s="3080" t="s">
        <v>780</v>
      </c>
      <c r="E835" s="3078">
        <v>902000</v>
      </c>
      <c r="F835" s="3078">
        <f t="shared" si="185"/>
        <v>1725487</v>
      </c>
      <c r="G835" s="1750">
        <f t="shared" si="184"/>
        <v>1.9129567627494457</v>
      </c>
      <c r="H835" s="1635">
        <f t="shared" si="182"/>
        <v>1725487</v>
      </c>
      <c r="I835" s="1636">
        <v>1260800</v>
      </c>
      <c r="R835" s="1636">
        <v>9687</v>
      </c>
      <c r="AA835" s="1637">
        <v>455000</v>
      </c>
    </row>
    <row r="836" spans="1:27" ht="17.100000000000001" customHeight="1">
      <c r="A836" s="3182"/>
      <c r="B836" s="3178"/>
      <c r="C836" s="3104" t="s">
        <v>781</v>
      </c>
      <c r="D836" s="3103" t="s">
        <v>782</v>
      </c>
      <c r="E836" s="1688">
        <v>65200</v>
      </c>
      <c r="F836" s="1688">
        <f t="shared" si="185"/>
        <v>134200</v>
      </c>
      <c r="G836" s="1750">
        <f t="shared" si="184"/>
        <v>2.0582822085889569</v>
      </c>
      <c r="H836" s="1635">
        <f t="shared" si="182"/>
        <v>134200</v>
      </c>
      <c r="I836" s="1636">
        <v>81200</v>
      </c>
      <c r="R836" s="1636">
        <v>1500</v>
      </c>
      <c r="AA836" s="1637">
        <v>51500</v>
      </c>
    </row>
    <row r="837" spans="1:27" ht="17.100000000000001" customHeight="1">
      <c r="A837" s="1666"/>
      <c r="B837" s="1678"/>
      <c r="C837" s="2758" t="s">
        <v>783</v>
      </c>
      <c r="D837" s="3192" t="s">
        <v>784</v>
      </c>
      <c r="E837" s="3116">
        <f>45000+2451313</f>
        <v>2496313</v>
      </c>
      <c r="F837" s="3116">
        <f t="shared" si="185"/>
        <v>4681860</v>
      </c>
      <c r="G837" s="1750">
        <f t="shared" si="184"/>
        <v>1.8755100021511726</v>
      </c>
      <c r="H837" s="1635">
        <f t="shared" si="182"/>
        <v>4681860</v>
      </c>
      <c r="I837" s="1636">
        <v>2295834</v>
      </c>
      <c r="O837" s="1636">
        <v>690000</v>
      </c>
      <c r="R837" s="1636">
        <v>88526</v>
      </c>
      <c r="Z837" s="1637">
        <v>45000</v>
      </c>
      <c r="AA837" s="1637">
        <v>1562500</v>
      </c>
    </row>
    <row r="838" spans="1:27" ht="16.5" customHeight="1">
      <c r="A838" s="1666"/>
      <c r="B838" s="1678"/>
      <c r="C838" s="3190" t="s">
        <v>785</v>
      </c>
      <c r="D838" s="3191" t="s">
        <v>786</v>
      </c>
      <c r="E838" s="3078">
        <v>163800</v>
      </c>
      <c r="F838" s="3078">
        <f t="shared" si="185"/>
        <v>274800</v>
      </c>
      <c r="G838" s="1750">
        <f t="shared" si="184"/>
        <v>1.6776556776556777</v>
      </c>
      <c r="H838" s="1635">
        <f t="shared" si="182"/>
        <v>274800</v>
      </c>
      <c r="I838" s="1636">
        <v>193800</v>
      </c>
      <c r="R838" s="1636">
        <v>5500</v>
      </c>
      <c r="AA838" s="1637">
        <v>75500</v>
      </c>
    </row>
    <row r="839" spans="1:27" ht="17.100000000000001" customHeight="1">
      <c r="A839" s="1666"/>
      <c r="B839" s="1678"/>
      <c r="C839" s="1719" t="s">
        <v>950</v>
      </c>
      <c r="D839" s="1720" t="s">
        <v>951</v>
      </c>
      <c r="E839" s="1749">
        <v>10200</v>
      </c>
      <c r="F839" s="1749">
        <f t="shared" si="185"/>
        <v>10200</v>
      </c>
      <c r="G839" s="1750">
        <f t="shared" si="184"/>
        <v>1</v>
      </c>
      <c r="H839" s="1635">
        <f t="shared" si="182"/>
        <v>10200</v>
      </c>
      <c r="I839" s="1636">
        <v>10200</v>
      </c>
    </row>
    <row r="840" spans="1:27" ht="17.100000000000001" customHeight="1">
      <c r="A840" s="1666"/>
      <c r="B840" s="1678"/>
      <c r="C840" s="2058" t="s">
        <v>787</v>
      </c>
      <c r="D840" s="2059" t="s">
        <v>788</v>
      </c>
      <c r="E840" s="1749">
        <v>122200</v>
      </c>
      <c r="F840" s="1749">
        <f t="shared" si="185"/>
        <v>124200</v>
      </c>
      <c r="G840" s="1750">
        <f t="shared" si="184"/>
        <v>1.0163666121112929</v>
      </c>
      <c r="H840" s="1635">
        <f t="shared" si="182"/>
        <v>124200</v>
      </c>
      <c r="I840" s="1636">
        <v>61200</v>
      </c>
      <c r="AA840" s="1637">
        <v>63000</v>
      </c>
    </row>
    <row r="841" spans="1:27" ht="28.5" customHeight="1">
      <c r="A841" s="1666"/>
      <c r="B841" s="1678"/>
      <c r="C841" s="2058" t="s">
        <v>789</v>
      </c>
      <c r="D841" s="2059" t="s">
        <v>790</v>
      </c>
      <c r="E841" s="1749">
        <v>0</v>
      </c>
      <c r="F841" s="1749">
        <f t="shared" si="185"/>
        <v>13000</v>
      </c>
      <c r="G841" s="1750"/>
      <c r="H841" s="1635">
        <f t="shared" si="182"/>
        <v>13000</v>
      </c>
      <c r="I841" s="1636">
        <v>13000</v>
      </c>
    </row>
    <row r="842" spans="1:27" ht="17.100000000000001" customHeight="1">
      <c r="A842" s="1666"/>
      <c r="B842" s="1678"/>
      <c r="C842" s="2058" t="s">
        <v>791</v>
      </c>
      <c r="D842" s="2059" t="s">
        <v>792</v>
      </c>
      <c r="E842" s="1749">
        <v>93000</v>
      </c>
      <c r="F842" s="1749">
        <f t="shared" si="185"/>
        <v>171500</v>
      </c>
      <c r="G842" s="1750">
        <f t="shared" si="184"/>
        <v>1.8440860215053763</v>
      </c>
      <c r="H842" s="1635">
        <f t="shared" si="182"/>
        <v>171500</v>
      </c>
      <c r="I842" s="1636">
        <v>153000</v>
      </c>
      <c r="R842" s="1636">
        <v>3500</v>
      </c>
      <c r="AA842" s="1637">
        <v>15000</v>
      </c>
    </row>
    <row r="843" spans="1:27" ht="17.100000000000001" customHeight="1">
      <c r="A843" s="1666"/>
      <c r="B843" s="1678"/>
      <c r="C843" s="2058" t="s">
        <v>927</v>
      </c>
      <c r="D843" s="2059" t="s">
        <v>928</v>
      </c>
      <c r="E843" s="1749">
        <v>115000</v>
      </c>
      <c r="F843" s="1749">
        <f t="shared" si="185"/>
        <v>270000</v>
      </c>
      <c r="G843" s="1750">
        <f t="shared" si="184"/>
        <v>2.347826086956522</v>
      </c>
      <c r="H843" s="1635">
        <f t="shared" si="182"/>
        <v>270000</v>
      </c>
      <c r="I843" s="1636">
        <v>255000</v>
      </c>
      <c r="AA843" s="1637">
        <v>15000</v>
      </c>
    </row>
    <row r="844" spans="1:27" ht="17.100000000000001" customHeight="1">
      <c r="A844" s="1666"/>
      <c r="B844" s="1678"/>
      <c r="C844" s="2058" t="s">
        <v>793</v>
      </c>
      <c r="D844" s="2059" t="s">
        <v>794</v>
      </c>
      <c r="E844" s="1749">
        <v>230000</v>
      </c>
      <c r="F844" s="1749">
        <f t="shared" si="185"/>
        <v>304200</v>
      </c>
      <c r="G844" s="1750">
        <f t="shared" si="184"/>
        <v>1.3226086956521739</v>
      </c>
      <c r="H844" s="1635">
        <f t="shared" si="182"/>
        <v>304200</v>
      </c>
      <c r="I844" s="1636">
        <v>231000</v>
      </c>
      <c r="L844" s="1636">
        <v>71000</v>
      </c>
      <c r="R844" s="1636">
        <v>2200</v>
      </c>
    </row>
    <row r="845" spans="1:27" ht="17.100000000000001" customHeight="1">
      <c r="A845" s="1666"/>
      <c r="B845" s="1678"/>
      <c r="C845" s="2058" t="s">
        <v>795</v>
      </c>
      <c r="D845" s="2059" t="s">
        <v>796</v>
      </c>
      <c r="E845" s="1749">
        <v>1853679</v>
      </c>
      <c r="F845" s="1749">
        <f t="shared" si="185"/>
        <v>2362436</v>
      </c>
      <c r="G845" s="1750">
        <f t="shared" si="184"/>
        <v>1.2744579832862108</v>
      </c>
      <c r="H845" s="1635">
        <f t="shared" si="182"/>
        <v>2362436</v>
      </c>
      <c r="I845" s="1636">
        <v>1948300</v>
      </c>
      <c r="R845" s="1636">
        <v>14136</v>
      </c>
      <c r="AA845" s="1637">
        <v>400000</v>
      </c>
    </row>
    <row r="846" spans="1:27" ht="17.100000000000001" customHeight="1">
      <c r="A846" s="1666"/>
      <c r="B846" s="1678"/>
      <c r="C846" s="2058" t="s">
        <v>797</v>
      </c>
      <c r="D846" s="2059" t="s">
        <v>798</v>
      </c>
      <c r="E846" s="1749">
        <v>0</v>
      </c>
      <c r="F846" s="1749">
        <f>H846</f>
        <v>151900</v>
      </c>
      <c r="G846" s="1750"/>
      <c r="H846" s="1635">
        <f t="shared" si="182"/>
        <v>151900</v>
      </c>
      <c r="R846" s="1636">
        <v>1900</v>
      </c>
      <c r="AA846" s="1637">
        <v>150000</v>
      </c>
    </row>
    <row r="847" spans="1:27" ht="17.100000000000001" customHeight="1">
      <c r="A847" s="1666"/>
      <c r="B847" s="1678"/>
      <c r="C847" s="2058" t="s">
        <v>819</v>
      </c>
      <c r="D847" s="2064" t="s">
        <v>820</v>
      </c>
      <c r="E847" s="1749">
        <v>0</v>
      </c>
      <c r="F847" s="1749">
        <f>H847</f>
        <v>5000</v>
      </c>
      <c r="G847" s="1750"/>
      <c r="H847" s="1635">
        <f t="shared" si="182"/>
        <v>5000</v>
      </c>
      <c r="AA847" s="1637">
        <v>5000</v>
      </c>
    </row>
    <row r="848" spans="1:27" ht="17.100000000000001" customHeight="1">
      <c r="A848" s="1666"/>
      <c r="B848" s="1678"/>
      <c r="C848" s="2058" t="s">
        <v>799</v>
      </c>
      <c r="D848" s="2059" t="s">
        <v>800</v>
      </c>
      <c r="E848" s="1749">
        <v>10200</v>
      </c>
      <c r="F848" s="1749">
        <f t="shared" si="185"/>
        <v>10200</v>
      </c>
      <c r="G848" s="1750">
        <f t="shared" si="184"/>
        <v>1</v>
      </c>
      <c r="H848" s="1635">
        <f t="shared" si="182"/>
        <v>10200</v>
      </c>
      <c r="I848" s="1636">
        <v>10200</v>
      </c>
    </row>
    <row r="849" spans="1:27" ht="17.100000000000001" customHeight="1">
      <c r="A849" s="1666"/>
      <c r="B849" s="1678"/>
      <c r="C849" s="2058" t="s">
        <v>801</v>
      </c>
      <c r="D849" s="2059" t="s">
        <v>802</v>
      </c>
      <c r="E849" s="1749">
        <v>180000</v>
      </c>
      <c r="F849" s="1749">
        <f t="shared" si="185"/>
        <v>392500</v>
      </c>
      <c r="G849" s="1750">
        <f t="shared" si="184"/>
        <v>2.1805555555555554</v>
      </c>
      <c r="H849" s="1635">
        <f t="shared" si="182"/>
        <v>392500</v>
      </c>
      <c r="I849" s="1636">
        <v>230000</v>
      </c>
      <c r="AA849" s="1637">
        <v>162500</v>
      </c>
    </row>
    <row r="850" spans="1:27" ht="17.100000000000001" customHeight="1">
      <c r="A850" s="1666"/>
      <c r="B850" s="1678"/>
      <c r="C850" s="2065" t="s">
        <v>803</v>
      </c>
      <c r="D850" s="2064" t="s">
        <v>804</v>
      </c>
      <c r="E850" s="1749">
        <v>172000</v>
      </c>
      <c r="F850" s="1749">
        <f t="shared" si="185"/>
        <v>102000</v>
      </c>
      <c r="G850" s="1750">
        <f t="shared" si="184"/>
        <v>0.59302325581395354</v>
      </c>
      <c r="H850" s="1635">
        <f t="shared" si="182"/>
        <v>102000</v>
      </c>
      <c r="I850" s="1636">
        <v>102000</v>
      </c>
    </row>
    <row r="851" spans="1:27" ht="17.100000000000001" hidden="1" customHeight="1">
      <c r="A851" s="1666"/>
      <c r="B851" s="1678"/>
      <c r="C851" s="2065" t="s">
        <v>991</v>
      </c>
      <c r="D851" s="2064" t="s">
        <v>992</v>
      </c>
      <c r="E851" s="1749"/>
      <c r="F851" s="1749">
        <f t="shared" si="185"/>
        <v>0</v>
      </c>
      <c r="G851" s="1750" t="e">
        <f t="shared" si="184"/>
        <v>#DIV/0!</v>
      </c>
      <c r="H851" s="1635">
        <f t="shared" si="182"/>
        <v>0</v>
      </c>
    </row>
    <row r="852" spans="1:27" ht="17.100000000000001" customHeight="1">
      <c r="A852" s="1666"/>
      <c r="B852" s="1678"/>
      <c r="C852" s="2065" t="s">
        <v>874</v>
      </c>
      <c r="D852" s="2064" t="s">
        <v>875</v>
      </c>
      <c r="E852" s="1749">
        <v>132000</v>
      </c>
      <c r="F852" s="1749">
        <f t="shared" si="185"/>
        <v>102000</v>
      </c>
      <c r="G852" s="1750">
        <f t="shared" si="184"/>
        <v>0.77272727272727271</v>
      </c>
      <c r="H852" s="1635">
        <f t="shared" si="182"/>
        <v>102000</v>
      </c>
      <c r="I852" s="1636">
        <v>102000</v>
      </c>
    </row>
    <row r="853" spans="1:27" ht="20.25" customHeight="1">
      <c r="A853" s="1666"/>
      <c r="B853" s="1678"/>
      <c r="C853" s="2060" t="s">
        <v>805</v>
      </c>
      <c r="D853" s="1969" t="s">
        <v>806</v>
      </c>
      <c r="E853" s="1749">
        <v>204000</v>
      </c>
      <c r="F853" s="1749">
        <f t="shared" si="185"/>
        <v>290000</v>
      </c>
      <c r="G853" s="1750">
        <f t="shared" si="184"/>
        <v>1.4215686274509804</v>
      </c>
      <c r="H853" s="1635">
        <f t="shared" si="182"/>
        <v>290000</v>
      </c>
      <c r="I853" s="1636">
        <v>204000</v>
      </c>
      <c r="R853" s="1636">
        <v>6000</v>
      </c>
      <c r="AA853" s="1637">
        <v>80000</v>
      </c>
    </row>
    <row r="854" spans="1:27" ht="17.100000000000001" customHeight="1">
      <c r="A854" s="1666"/>
      <c r="B854" s="1678"/>
      <c r="C854" s="1699"/>
      <c r="D854" s="1699"/>
      <c r="E854" s="1683"/>
      <c r="F854" s="1683"/>
      <c r="G854" s="1684"/>
      <c r="H854" s="1635">
        <f t="shared" si="182"/>
        <v>0</v>
      </c>
    </row>
    <row r="855" spans="1:27" ht="17.100000000000001" customHeight="1">
      <c r="A855" s="1666"/>
      <c r="B855" s="1678"/>
      <c r="C855" s="3615" t="s">
        <v>807</v>
      </c>
      <c r="D855" s="3615"/>
      <c r="E855" s="1904">
        <f t="shared" ref="E855:F855" si="186">E856</f>
        <v>101400</v>
      </c>
      <c r="F855" s="1904">
        <f t="shared" si="186"/>
        <v>438500</v>
      </c>
      <c r="G855" s="1905">
        <f t="shared" si="184"/>
        <v>4.3244575936883631</v>
      </c>
      <c r="H855" s="1635">
        <f t="shared" si="182"/>
        <v>0</v>
      </c>
    </row>
    <row r="856" spans="1:27" ht="17.100000000000001" customHeight="1">
      <c r="A856" s="1666"/>
      <c r="B856" s="1678"/>
      <c r="C856" s="1719" t="s">
        <v>808</v>
      </c>
      <c r="D856" s="1720" t="s">
        <v>809</v>
      </c>
      <c r="E856" s="1749">
        <v>101400</v>
      </c>
      <c r="F856" s="1749">
        <f>H856</f>
        <v>438500</v>
      </c>
      <c r="G856" s="1750">
        <f t="shared" si="184"/>
        <v>4.3244575936883631</v>
      </c>
      <c r="H856" s="1635">
        <f t="shared" si="182"/>
        <v>438500</v>
      </c>
      <c r="I856" s="1636">
        <v>132600</v>
      </c>
      <c r="R856" s="1636">
        <v>900</v>
      </c>
      <c r="AA856" s="1637">
        <v>305000</v>
      </c>
    </row>
    <row r="857" spans="1:27" ht="17.100000000000001" customHeight="1">
      <c r="A857" s="1666"/>
      <c r="B857" s="1678"/>
      <c r="C857" s="1991"/>
      <c r="D857" s="1797"/>
      <c r="E857" s="1798"/>
      <c r="F857" s="1798"/>
      <c r="G857" s="1784"/>
      <c r="H857" s="1635">
        <f t="shared" si="182"/>
        <v>0</v>
      </c>
    </row>
    <row r="858" spans="1:27" ht="17.100000000000001" customHeight="1">
      <c r="A858" s="1666"/>
      <c r="B858" s="1678"/>
      <c r="C858" s="3616" t="s">
        <v>825</v>
      </c>
      <c r="D858" s="3617"/>
      <c r="E858" s="1749">
        <f>SUM(E859:E900)</f>
        <v>38741224</v>
      </c>
      <c r="F858" s="1749">
        <f>SUM(F859:F900)</f>
        <v>43301610</v>
      </c>
      <c r="G858" s="1750">
        <f t="shared" si="184"/>
        <v>1.1177140402172114</v>
      </c>
      <c r="H858" s="1635">
        <f t="shared" si="182"/>
        <v>0</v>
      </c>
    </row>
    <row r="859" spans="1:27" ht="17.100000000000001" customHeight="1">
      <c r="A859" s="1666"/>
      <c r="B859" s="1678"/>
      <c r="C859" s="2066" t="s">
        <v>1018</v>
      </c>
      <c r="D859" s="1720" t="s">
        <v>809</v>
      </c>
      <c r="E859" s="1904">
        <v>21250</v>
      </c>
      <c r="F859" s="1904">
        <f>H859</f>
        <v>25500</v>
      </c>
      <c r="G859" s="1905">
        <f t="shared" si="184"/>
        <v>1.2</v>
      </c>
      <c r="H859" s="1635">
        <f t="shared" si="182"/>
        <v>25500</v>
      </c>
      <c r="I859" s="1636">
        <v>25500</v>
      </c>
    </row>
    <row r="860" spans="1:27" ht="17.100000000000001" customHeight="1">
      <c r="A860" s="1666"/>
      <c r="B860" s="1678"/>
      <c r="C860" s="2067" t="s">
        <v>1019</v>
      </c>
      <c r="D860" s="1707" t="s">
        <v>809</v>
      </c>
      <c r="E860" s="1904">
        <v>3750</v>
      </c>
      <c r="F860" s="1904">
        <f t="shared" ref="F860:F900" si="187">H860</f>
        <v>4500</v>
      </c>
      <c r="G860" s="1905">
        <f t="shared" si="184"/>
        <v>1.2</v>
      </c>
      <c r="H860" s="1635">
        <f t="shared" si="182"/>
        <v>4500</v>
      </c>
      <c r="I860" s="1636">
        <v>4500</v>
      </c>
    </row>
    <row r="861" spans="1:27" ht="17.100000000000001" customHeight="1">
      <c r="A861" s="1666"/>
      <c r="B861" s="1678"/>
      <c r="C861" s="2068" t="s">
        <v>1020</v>
      </c>
      <c r="D861" s="1969" t="s">
        <v>1021</v>
      </c>
      <c r="E861" s="1904">
        <v>10200</v>
      </c>
      <c r="F861" s="1904">
        <f t="shared" si="187"/>
        <v>10200</v>
      </c>
      <c r="G861" s="1905">
        <f t="shared" si="184"/>
        <v>1</v>
      </c>
      <c r="H861" s="1635">
        <f t="shared" si="182"/>
        <v>10200</v>
      </c>
      <c r="I861" s="1636">
        <v>10200</v>
      </c>
    </row>
    <row r="862" spans="1:27" ht="17.100000000000001" customHeight="1">
      <c r="A862" s="1666"/>
      <c r="B862" s="1678"/>
      <c r="C862" s="2068" t="s">
        <v>1022</v>
      </c>
      <c r="D862" s="1969" t="s">
        <v>1021</v>
      </c>
      <c r="E862" s="1904">
        <v>1800</v>
      </c>
      <c r="F862" s="1904">
        <f t="shared" si="187"/>
        <v>1800</v>
      </c>
      <c r="G862" s="1905">
        <f t="shared" si="184"/>
        <v>1</v>
      </c>
      <c r="H862" s="1635">
        <f t="shared" si="182"/>
        <v>1800</v>
      </c>
      <c r="I862" s="1636">
        <v>1800</v>
      </c>
    </row>
    <row r="863" spans="1:27" ht="17.100000000000001" customHeight="1">
      <c r="A863" s="1666"/>
      <c r="B863" s="1678"/>
      <c r="C863" s="1719" t="s">
        <v>828</v>
      </c>
      <c r="D863" s="1720" t="s">
        <v>759</v>
      </c>
      <c r="E863" s="1904">
        <v>20764713</v>
      </c>
      <c r="F863" s="1904">
        <f t="shared" si="187"/>
        <v>22525000</v>
      </c>
      <c r="G863" s="1905">
        <f t="shared" si="184"/>
        <v>1.0847729992704449</v>
      </c>
      <c r="H863" s="1635">
        <f t="shared" si="182"/>
        <v>22525000</v>
      </c>
      <c r="I863" s="1636">
        <v>22525000</v>
      </c>
    </row>
    <row r="864" spans="1:27" ht="17.100000000000001" customHeight="1">
      <c r="A864" s="1666"/>
      <c r="B864" s="1678"/>
      <c r="C864" s="2058" t="s">
        <v>829</v>
      </c>
      <c r="D864" s="2059" t="s">
        <v>759</v>
      </c>
      <c r="E864" s="1904">
        <v>3664362</v>
      </c>
      <c r="F864" s="1904">
        <f t="shared" si="187"/>
        <v>3975000</v>
      </c>
      <c r="G864" s="1905">
        <f t="shared" si="184"/>
        <v>1.0847727380646344</v>
      </c>
      <c r="H864" s="1635">
        <f t="shared" si="182"/>
        <v>3975000</v>
      </c>
      <c r="I864" s="1636">
        <v>3975000</v>
      </c>
    </row>
    <row r="865" spans="1:28" ht="17.100000000000001" customHeight="1">
      <c r="A865" s="1666"/>
      <c r="B865" s="1678"/>
      <c r="C865" s="2058" t="s">
        <v>830</v>
      </c>
      <c r="D865" s="2059" t="s">
        <v>761</v>
      </c>
      <c r="E865" s="1904">
        <v>1356848</v>
      </c>
      <c r="F865" s="1904">
        <f t="shared" si="187"/>
        <v>1474750</v>
      </c>
      <c r="G865" s="1905">
        <f t="shared" si="184"/>
        <v>1.0868940367675672</v>
      </c>
      <c r="H865" s="1635">
        <f t="shared" si="182"/>
        <v>1474750</v>
      </c>
      <c r="I865" s="1636">
        <v>1474750</v>
      </c>
    </row>
    <row r="866" spans="1:28" ht="17.100000000000001" customHeight="1">
      <c r="A866" s="1666"/>
      <c r="B866" s="1678"/>
      <c r="C866" s="2058" t="s">
        <v>831</v>
      </c>
      <c r="D866" s="2059" t="s">
        <v>761</v>
      </c>
      <c r="E866" s="1904">
        <v>239444</v>
      </c>
      <c r="F866" s="1904">
        <f t="shared" si="187"/>
        <v>260250</v>
      </c>
      <c r="G866" s="1905">
        <f t="shared" si="184"/>
        <v>1.0868929687108468</v>
      </c>
      <c r="H866" s="1635">
        <f t="shared" si="182"/>
        <v>260250</v>
      </c>
      <c r="I866" s="1636">
        <v>260250</v>
      </c>
    </row>
    <row r="867" spans="1:28" ht="17.100000000000001" customHeight="1">
      <c r="A867" s="1666"/>
      <c r="B867" s="1678"/>
      <c r="C867" s="2058" t="s">
        <v>832</v>
      </c>
      <c r="D867" s="2059" t="s">
        <v>763</v>
      </c>
      <c r="E867" s="1904">
        <v>3809018</v>
      </c>
      <c r="F867" s="1904">
        <f t="shared" si="187"/>
        <v>4102848</v>
      </c>
      <c r="G867" s="1905">
        <f t="shared" si="184"/>
        <v>1.0771406173454681</v>
      </c>
      <c r="H867" s="1635">
        <f t="shared" si="182"/>
        <v>4102848</v>
      </c>
      <c r="I867" s="1636">
        <v>4102848</v>
      </c>
    </row>
    <row r="868" spans="1:28" ht="17.100000000000001" customHeight="1">
      <c r="A868" s="1666"/>
      <c r="B868" s="1678"/>
      <c r="C868" s="2058" t="s">
        <v>833</v>
      </c>
      <c r="D868" s="2059" t="s">
        <v>763</v>
      </c>
      <c r="E868" s="1904">
        <v>672180</v>
      </c>
      <c r="F868" s="1904">
        <f t="shared" si="187"/>
        <v>724032</v>
      </c>
      <c r="G868" s="1905">
        <f t="shared" si="184"/>
        <v>1.0771400517718468</v>
      </c>
      <c r="H868" s="1635">
        <f t="shared" si="182"/>
        <v>724032</v>
      </c>
      <c r="I868" s="1636">
        <v>724032</v>
      </c>
    </row>
    <row r="869" spans="1:28" ht="28.5" customHeight="1">
      <c r="A869" s="1666"/>
      <c r="B869" s="1678"/>
      <c r="C869" s="2058" t="s">
        <v>834</v>
      </c>
      <c r="D869" s="2059" t="s">
        <v>1440</v>
      </c>
      <c r="E869" s="1904">
        <v>542741</v>
      </c>
      <c r="F869" s="1904">
        <f t="shared" si="187"/>
        <v>587333</v>
      </c>
      <c r="G869" s="1905">
        <f t="shared" si="184"/>
        <v>1.0821607359679848</v>
      </c>
      <c r="H869" s="1635">
        <f t="shared" si="182"/>
        <v>587333</v>
      </c>
      <c r="I869" s="1636">
        <v>587333</v>
      </c>
    </row>
    <row r="870" spans="1:28" ht="28.5" customHeight="1">
      <c r="A870" s="1666"/>
      <c r="B870" s="1678"/>
      <c r="C870" s="2058" t="s">
        <v>835</v>
      </c>
      <c r="D870" s="2059" t="s">
        <v>1440</v>
      </c>
      <c r="E870" s="1904">
        <v>95778</v>
      </c>
      <c r="F870" s="1904">
        <f t="shared" si="187"/>
        <v>103647</v>
      </c>
      <c r="G870" s="1905">
        <f t="shared" si="184"/>
        <v>1.0821587420910856</v>
      </c>
      <c r="H870" s="1635">
        <f t="shared" si="182"/>
        <v>103647</v>
      </c>
      <c r="I870" s="1636">
        <v>103647</v>
      </c>
    </row>
    <row r="871" spans="1:28" ht="17.100000000000001" customHeight="1">
      <c r="A871" s="1666"/>
      <c r="B871" s="1678"/>
      <c r="C871" s="2058" t="s">
        <v>836</v>
      </c>
      <c r="D871" s="2059" t="s">
        <v>767</v>
      </c>
      <c r="E871" s="1904">
        <f>181050+51000+85000+50000</f>
        <v>367050</v>
      </c>
      <c r="F871" s="1904">
        <f t="shared" si="187"/>
        <v>893350</v>
      </c>
      <c r="G871" s="1905">
        <f t="shared" si="184"/>
        <v>2.433864596104073</v>
      </c>
      <c r="H871" s="1635">
        <f t="shared" si="182"/>
        <v>893350</v>
      </c>
      <c r="I871" s="1636">
        <v>780300</v>
      </c>
      <c r="V871" s="1636">
        <v>38250</v>
      </c>
      <c r="W871" s="1636">
        <v>40800</v>
      </c>
      <c r="AB871" s="1637">
        <v>34000</v>
      </c>
    </row>
    <row r="872" spans="1:28" ht="17.100000000000001" customHeight="1">
      <c r="A872" s="1666"/>
      <c r="B872" s="1678"/>
      <c r="C872" s="2058" t="s">
        <v>837</v>
      </c>
      <c r="D872" s="2059" t="s">
        <v>767</v>
      </c>
      <c r="E872" s="1904">
        <f>31950+9000+15000+8823</f>
        <v>64773</v>
      </c>
      <c r="F872" s="1904">
        <f t="shared" si="187"/>
        <v>157650</v>
      </c>
      <c r="G872" s="1905">
        <f t="shared" si="184"/>
        <v>2.4338844889074149</v>
      </c>
      <c r="H872" s="1635">
        <f t="shared" si="182"/>
        <v>157650</v>
      </c>
      <c r="I872" s="1636">
        <v>137700</v>
      </c>
      <c r="V872" s="1636">
        <v>6750</v>
      </c>
      <c r="W872" s="1636">
        <v>7200</v>
      </c>
      <c r="AB872" s="1637">
        <v>6000</v>
      </c>
    </row>
    <row r="873" spans="1:28" ht="17.100000000000001" customHeight="1">
      <c r="A873" s="1666"/>
      <c r="B873" s="1678"/>
      <c r="C873" s="2058" t="s">
        <v>841</v>
      </c>
      <c r="D873" s="2059" t="s">
        <v>774</v>
      </c>
      <c r="E873" s="1904">
        <f>1020000+119000</f>
        <v>1139000</v>
      </c>
      <c r="F873" s="1904">
        <f t="shared" si="187"/>
        <v>1181500</v>
      </c>
      <c r="G873" s="1905">
        <f t="shared" si="184"/>
        <v>1.0373134328358209</v>
      </c>
      <c r="H873" s="1635">
        <f t="shared" si="182"/>
        <v>1181500</v>
      </c>
      <c r="I873" s="1636">
        <v>1062500</v>
      </c>
      <c r="AB873" s="1637">
        <v>119000</v>
      </c>
    </row>
    <row r="874" spans="1:28" ht="17.100000000000001" customHeight="1">
      <c r="A874" s="1666"/>
      <c r="B874" s="1678"/>
      <c r="C874" s="2058" t="s">
        <v>842</v>
      </c>
      <c r="D874" s="2059" t="s">
        <v>774</v>
      </c>
      <c r="E874" s="1904">
        <f>180000+21000</f>
        <v>201000</v>
      </c>
      <c r="F874" s="1904">
        <f t="shared" si="187"/>
        <v>208500</v>
      </c>
      <c r="G874" s="1905">
        <f t="shared" si="184"/>
        <v>1.0373134328358209</v>
      </c>
      <c r="H874" s="1635">
        <f t="shared" si="182"/>
        <v>208500</v>
      </c>
      <c r="I874" s="1636">
        <v>187500</v>
      </c>
      <c r="AB874" s="1637">
        <v>21000</v>
      </c>
    </row>
    <row r="875" spans="1:28" ht="17.100000000000001" customHeight="1">
      <c r="A875" s="1666"/>
      <c r="B875" s="1678"/>
      <c r="C875" s="2058" t="s">
        <v>1023</v>
      </c>
      <c r="D875" s="2059" t="s">
        <v>778</v>
      </c>
      <c r="E875" s="1904">
        <v>391000</v>
      </c>
      <c r="F875" s="1904">
        <f t="shared" si="187"/>
        <v>391000</v>
      </c>
      <c r="G875" s="1905">
        <f t="shared" si="184"/>
        <v>1</v>
      </c>
      <c r="H875" s="1635">
        <f t="shared" si="182"/>
        <v>391000</v>
      </c>
      <c r="I875" s="1636">
        <v>391000</v>
      </c>
    </row>
    <row r="876" spans="1:28" ht="17.100000000000001" customHeight="1">
      <c r="A876" s="1666"/>
      <c r="B876" s="1678"/>
      <c r="C876" s="2058" t="s">
        <v>1024</v>
      </c>
      <c r="D876" s="2059" t="s">
        <v>778</v>
      </c>
      <c r="E876" s="1904">
        <v>69000</v>
      </c>
      <c r="F876" s="1904">
        <f t="shared" si="187"/>
        <v>69000</v>
      </c>
      <c r="G876" s="1905">
        <f t="shared" si="184"/>
        <v>1</v>
      </c>
      <c r="H876" s="1635">
        <f t="shared" si="182"/>
        <v>69000</v>
      </c>
      <c r="I876" s="1636">
        <v>69000</v>
      </c>
    </row>
    <row r="877" spans="1:28" ht="17.100000000000001" customHeight="1">
      <c r="A877" s="1666"/>
      <c r="B877" s="1678"/>
      <c r="C877" s="2058" t="s">
        <v>1025</v>
      </c>
      <c r="D877" s="2059" t="s">
        <v>782</v>
      </c>
      <c r="E877" s="1904">
        <v>22950</v>
      </c>
      <c r="F877" s="1904">
        <f t="shared" si="187"/>
        <v>22950</v>
      </c>
      <c r="G877" s="1905">
        <f t="shared" si="184"/>
        <v>1</v>
      </c>
      <c r="H877" s="1635">
        <f t="shared" si="182"/>
        <v>22950</v>
      </c>
      <c r="I877" s="1636">
        <v>22950</v>
      </c>
    </row>
    <row r="878" spans="1:28" ht="17.100000000000001" customHeight="1">
      <c r="A878" s="1666"/>
      <c r="B878" s="1678"/>
      <c r="C878" s="2058" t="s">
        <v>1026</v>
      </c>
      <c r="D878" s="2059" t="s">
        <v>782</v>
      </c>
      <c r="E878" s="1904">
        <v>4050</v>
      </c>
      <c r="F878" s="1904">
        <f t="shared" si="187"/>
        <v>4050</v>
      </c>
      <c r="G878" s="1905">
        <f t="shared" si="184"/>
        <v>1</v>
      </c>
      <c r="H878" s="1635">
        <f t="shared" si="182"/>
        <v>4050</v>
      </c>
      <c r="I878" s="1636">
        <v>4050</v>
      </c>
    </row>
    <row r="879" spans="1:28" ht="17.100000000000001" customHeight="1">
      <c r="A879" s="1666"/>
      <c r="B879" s="1678"/>
      <c r="C879" s="2058" t="s">
        <v>845</v>
      </c>
      <c r="D879" s="2059" t="s">
        <v>784</v>
      </c>
      <c r="E879" s="1904">
        <f>309910+21250+59500+1940000</f>
        <v>2330660</v>
      </c>
      <c r="F879" s="1904">
        <f t="shared" si="187"/>
        <v>2787300</v>
      </c>
      <c r="G879" s="1905">
        <f t="shared" si="184"/>
        <v>1.1959273338882548</v>
      </c>
      <c r="H879" s="1635">
        <f t="shared" si="182"/>
        <v>2787300</v>
      </c>
      <c r="I879" s="1636">
        <v>385050</v>
      </c>
      <c r="V879" s="1636">
        <v>21250</v>
      </c>
      <c r="AB879" s="1637">
        <v>2381000</v>
      </c>
    </row>
    <row r="880" spans="1:28" ht="17.100000000000001" customHeight="1" thickBot="1">
      <c r="A880" s="1792"/>
      <c r="B880" s="3183"/>
      <c r="C880" s="3120" t="s">
        <v>846</v>
      </c>
      <c r="D880" s="3121" t="s">
        <v>784</v>
      </c>
      <c r="E880" s="1694">
        <f>54690+3750+10500+342353</f>
        <v>411293</v>
      </c>
      <c r="F880" s="1694">
        <f t="shared" si="187"/>
        <v>491876</v>
      </c>
      <c r="G880" s="1905">
        <f t="shared" si="184"/>
        <v>1.1959260186776823</v>
      </c>
      <c r="H880" s="1635">
        <f t="shared" si="182"/>
        <v>491876</v>
      </c>
      <c r="I880" s="1636">
        <v>67950</v>
      </c>
      <c r="V880" s="1636">
        <v>3750</v>
      </c>
      <c r="AB880" s="1637">
        <v>420176</v>
      </c>
    </row>
    <row r="881" spans="1:28" ht="26.25" hidden="1" customHeight="1">
      <c r="A881" s="1666"/>
      <c r="B881" s="1678"/>
      <c r="C881" s="3193" t="s">
        <v>1027</v>
      </c>
      <c r="D881" s="3194" t="s">
        <v>1028</v>
      </c>
      <c r="E881" s="3078"/>
      <c r="F881" s="3078">
        <f t="shared" si="187"/>
        <v>0</v>
      </c>
      <c r="G881" s="1905" t="e">
        <f t="shared" si="184"/>
        <v>#DIV/0!</v>
      </c>
      <c r="H881" s="1635">
        <f t="shared" si="182"/>
        <v>0</v>
      </c>
    </row>
    <row r="882" spans="1:28" ht="16.5" customHeight="1">
      <c r="A882" s="1666"/>
      <c r="B882" s="1678"/>
      <c r="C882" s="2058" t="s">
        <v>952</v>
      </c>
      <c r="D882" s="2059" t="s">
        <v>951</v>
      </c>
      <c r="E882" s="1904">
        <v>5100</v>
      </c>
      <c r="F882" s="1904">
        <f t="shared" si="187"/>
        <v>5950</v>
      </c>
      <c r="G882" s="1905">
        <f t="shared" si="184"/>
        <v>1.1666666666666667</v>
      </c>
      <c r="H882" s="1635">
        <f t="shared" si="182"/>
        <v>5950</v>
      </c>
      <c r="I882" s="1636">
        <v>5950</v>
      </c>
    </row>
    <row r="883" spans="1:28" ht="16.5" customHeight="1">
      <c r="A883" s="1666"/>
      <c r="B883" s="1678"/>
      <c r="C883" s="2058" t="s">
        <v>953</v>
      </c>
      <c r="D883" s="2059" t="s">
        <v>951</v>
      </c>
      <c r="E883" s="1904">
        <v>900</v>
      </c>
      <c r="F883" s="1904">
        <f t="shared" si="187"/>
        <v>1050</v>
      </c>
      <c r="G883" s="1905">
        <f t="shared" si="184"/>
        <v>1.1666666666666667</v>
      </c>
      <c r="H883" s="1635">
        <f t="shared" si="182"/>
        <v>1050</v>
      </c>
      <c r="I883" s="1636">
        <v>1050</v>
      </c>
    </row>
    <row r="884" spans="1:28" ht="17.100000000000001" customHeight="1">
      <c r="A884" s="1666"/>
      <c r="B884" s="1678"/>
      <c r="C884" s="2058" t="s">
        <v>847</v>
      </c>
      <c r="D884" s="2059" t="s">
        <v>788</v>
      </c>
      <c r="E884" s="1904">
        <f>225250+1258000</f>
        <v>1483250</v>
      </c>
      <c r="F884" s="1904">
        <f t="shared" si="187"/>
        <v>2140461</v>
      </c>
      <c r="G884" s="1905">
        <f t="shared" si="184"/>
        <v>1.4430884881173101</v>
      </c>
      <c r="H884" s="1635">
        <f t="shared" si="182"/>
        <v>2140461</v>
      </c>
      <c r="I884" s="1636">
        <v>8500</v>
      </c>
      <c r="V884" s="1636">
        <v>238000</v>
      </c>
      <c r="W884" s="1636">
        <v>1893961</v>
      </c>
    </row>
    <row r="885" spans="1:28" ht="16.5" customHeight="1">
      <c r="A885" s="1666"/>
      <c r="B885" s="1678"/>
      <c r="C885" s="2058" t="s">
        <v>848</v>
      </c>
      <c r="D885" s="2059" t="s">
        <v>788</v>
      </c>
      <c r="E885" s="1904">
        <f>39750+222000</f>
        <v>261750</v>
      </c>
      <c r="F885" s="1904">
        <f t="shared" si="187"/>
        <v>378289</v>
      </c>
      <c r="G885" s="1905">
        <f t="shared" si="184"/>
        <v>1.4452301814708692</v>
      </c>
      <c r="H885" s="1635">
        <f t="shared" si="182"/>
        <v>378289</v>
      </c>
      <c r="I885" s="1636">
        <v>1500</v>
      </c>
      <c r="V885" s="1636">
        <v>42000</v>
      </c>
      <c r="W885" s="1636">
        <v>334789</v>
      </c>
    </row>
    <row r="886" spans="1:28" ht="27.75" hidden="1" customHeight="1">
      <c r="A886" s="1666"/>
      <c r="B886" s="1678"/>
      <c r="C886" s="2058" t="s">
        <v>1029</v>
      </c>
      <c r="D886" s="2059" t="s">
        <v>790</v>
      </c>
      <c r="E886" s="1904"/>
      <c r="F886" s="1904">
        <f t="shared" si="187"/>
        <v>0</v>
      </c>
      <c r="G886" s="1905" t="e">
        <f t="shared" si="184"/>
        <v>#DIV/0!</v>
      </c>
      <c r="H886" s="1635">
        <f t="shared" si="182"/>
        <v>0</v>
      </c>
    </row>
    <row r="887" spans="1:28" ht="25.5" hidden="1" customHeight="1">
      <c r="A887" s="1666"/>
      <c r="B887" s="1678"/>
      <c r="C887" s="2058" t="s">
        <v>1030</v>
      </c>
      <c r="D887" s="2059" t="s">
        <v>790</v>
      </c>
      <c r="E887" s="1904"/>
      <c r="F887" s="1904">
        <f t="shared" si="187"/>
        <v>0</v>
      </c>
      <c r="G887" s="1905" t="e">
        <f t="shared" si="184"/>
        <v>#DIV/0!</v>
      </c>
      <c r="H887" s="1635">
        <f t="shared" si="182"/>
        <v>0</v>
      </c>
    </row>
    <row r="888" spans="1:28" ht="17.100000000000001" customHeight="1">
      <c r="A888" s="1666"/>
      <c r="B888" s="1678"/>
      <c r="C888" s="2058" t="s">
        <v>849</v>
      </c>
      <c r="D888" s="2059" t="s">
        <v>792</v>
      </c>
      <c r="E888" s="1904">
        <f>68000+8000</f>
        <v>76000</v>
      </c>
      <c r="F888" s="1904">
        <f t="shared" si="187"/>
        <v>71750</v>
      </c>
      <c r="G888" s="1905">
        <f t="shared" si="184"/>
        <v>0.94407894736842102</v>
      </c>
      <c r="H888" s="1635">
        <f t="shared" ref="H888:H953" si="188">SUM(I888:AE888)</f>
        <v>71750</v>
      </c>
      <c r="I888" s="1636">
        <v>63750</v>
      </c>
      <c r="AB888" s="1637">
        <v>8000</v>
      </c>
    </row>
    <row r="889" spans="1:28" ht="17.100000000000001" customHeight="1">
      <c r="A889" s="1666"/>
      <c r="B889" s="1678"/>
      <c r="C889" s="3104" t="s">
        <v>850</v>
      </c>
      <c r="D889" s="3103" t="s">
        <v>792</v>
      </c>
      <c r="E889" s="3087">
        <f>12000+1412</f>
        <v>13412</v>
      </c>
      <c r="F889" s="3087">
        <f t="shared" si="187"/>
        <v>12662</v>
      </c>
      <c r="G889" s="1905">
        <f t="shared" si="184"/>
        <v>0.94407992842230837</v>
      </c>
      <c r="H889" s="1635">
        <f t="shared" si="188"/>
        <v>12662</v>
      </c>
      <c r="I889" s="1636">
        <v>11250</v>
      </c>
      <c r="AB889" s="1637">
        <v>1412</v>
      </c>
    </row>
    <row r="890" spans="1:28" ht="17.100000000000001" customHeight="1">
      <c r="A890" s="3182"/>
      <c r="B890" s="3178"/>
      <c r="C890" s="2758" t="s">
        <v>954</v>
      </c>
      <c r="D890" s="3192" t="s">
        <v>928</v>
      </c>
      <c r="E890" s="3116">
        <f>59500+8000</f>
        <v>67500</v>
      </c>
      <c r="F890" s="3116">
        <f t="shared" si="187"/>
        <v>67500</v>
      </c>
      <c r="G890" s="1905">
        <f t="shared" si="184"/>
        <v>1</v>
      </c>
      <c r="H890" s="1635">
        <f t="shared" si="188"/>
        <v>67500</v>
      </c>
      <c r="I890" s="1636">
        <v>59500</v>
      </c>
      <c r="AB890" s="1637">
        <v>8000</v>
      </c>
    </row>
    <row r="891" spans="1:28" ht="17.100000000000001" customHeight="1">
      <c r="A891" s="1666"/>
      <c r="B891" s="1678"/>
      <c r="C891" s="3076" t="s">
        <v>955</v>
      </c>
      <c r="D891" s="3077" t="s">
        <v>928</v>
      </c>
      <c r="E891" s="3078">
        <f>10500+1412</f>
        <v>11912</v>
      </c>
      <c r="F891" s="3078">
        <f t="shared" si="187"/>
        <v>11912</v>
      </c>
      <c r="G891" s="1905">
        <f t="shared" si="184"/>
        <v>1</v>
      </c>
      <c r="H891" s="1635">
        <f t="shared" si="188"/>
        <v>11912</v>
      </c>
      <c r="I891" s="1636">
        <v>10500</v>
      </c>
      <c r="AB891" s="1637">
        <v>1412</v>
      </c>
    </row>
    <row r="892" spans="1:28" ht="17.100000000000001" customHeight="1">
      <c r="A892" s="1666"/>
      <c r="B892" s="1678"/>
      <c r="C892" s="2058" t="s">
        <v>1031</v>
      </c>
      <c r="D892" s="2059" t="s">
        <v>802</v>
      </c>
      <c r="E892" s="1904">
        <v>51000</v>
      </c>
      <c r="F892" s="1904">
        <f t="shared" si="187"/>
        <v>51000</v>
      </c>
      <c r="G892" s="1905">
        <f t="shared" si="184"/>
        <v>1</v>
      </c>
      <c r="H892" s="1635">
        <f t="shared" si="188"/>
        <v>51000</v>
      </c>
      <c r="I892" s="1636">
        <v>51000</v>
      </c>
    </row>
    <row r="893" spans="1:28" ht="17.100000000000001" customHeight="1">
      <c r="A893" s="1666"/>
      <c r="B893" s="1678"/>
      <c r="C893" s="2058" t="s">
        <v>1032</v>
      </c>
      <c r="D893" s="2059" t="s">
        <v>802</v>
      </c>
      <c r="E893" s="1904">
        <v>9000</v>
      </c>
      <c r="F893" s="1904">
        <f t="shared" si="187"/>
        <v>9000</v>
      </c>
      <c r="G893" s="1905">
        <f t="shared" si="184"/>
        <v>1</v>
      </c>
      <c r="H893" s="1635">
        <f t="shared" si="188"/>
        <v>9000</v>
      </c>
      <c r="I893" s="1636">
        <v>9000</v>
      </c>
    </row>
    <row r="894" spans="1:28" ht="57.75" hidden="1" customHeight="1">
      <c r="A894" s="1666"/>
      <c r="B894" s="1678"/>
      <c r="C894" s="2069" t="s">
        <v>881</v>
      </c>
      <c r="D894" s="2064" t="s">
        <v>882</v>
      </c>
      <c r="E894" s="1904"/>
      <c r="F894" s="1904">
        <f t="shared" si="187"/>
        <v>0</v>
      </c>
      <c r="G894" s="1905" t="e">
        <f t="shared" si="184"/>
        <v>#DIV/0!</v>
      </c>
      <c r="H894" s="1635">
        <f t="shared" si="188"/>
        <v>0</v>
      </c>
    </row>
    <row r="895" spans="1:28" ht="17.100000000000001" customHeight="1">
      <c r="A895" s="1666"/>
      <c r="B895" s="1678"/>
      <c r="C895" s="2065" t="s">
        <v>1033</v>
      </c>
      <c r="D895" s="2064" t="s">
        <v>875</v>
      </c>
      <c r="E895" s="1904">
        <v>102000</v>
      </c>
      <c r="F895" s="1904">
        <f t="shared" si="187"/>
        <v>119000</v>
      </c>
      <c r="G895" s="1905">
        <f t="shared" si="184"/>
        <v>1.1666666666666667</v>
      </c>
      <c r="H895" s="1635">
        <f t="shared" si="188"/>
        <v>119000</v>
      </c>
      <c r="I895" s="1636">
        <v>119000</v>
      </c>
    </row>
    <row r="896" spans="1:28" ht="17.100000000000001" customHeight="1">
      <c r="A896" s="1666"/>
      <c r="B896" s="1678"/>
      <c r="C896" s="1809" t="s">
        <v>1034</v>
      </c>
      <c r="D896" s="1992" t="s">
        <v>875</v>
      </c>
      <c r="E896" s="1904">
        <v>18000</v>
      </c>
      <c r="F896" s="1904">
        <f t="shared" si="187"/>
        <v>21000</v>
      </c>
      <c r="G896" s="1905">
        <f t="shared" si="184"/>
        <v>1.1666666666666667</v>
      </c>
      <c r="H896" s="1635">
        <f t="shared" si="188"/>
        <v>21000</v>
      </c>
      <c r="I896" s="1636">
        <v>21000</v>
      </c>
    </row>
    <row r="897" spans="1:27" ht="18.75" customHeight="1">
      <c r="A897" s="1666"/>
      <c r="B897" s="1678"/>
      <c r="C897" s="1719" t="s">
        <v>853</v>
      </c>
      <c r="D897" s="1720" t="s">
        <v>806</v>
      </c>
      <c r="E897" s="1904">
        <v>195500</v>
      </c>
      <c r="F897" s="1904">
        <f t="shared" si="187"/>
        <v>178500</v>
      </c>
      <c r="G897" s="1905">
        <f t="shared" si="184"/>
        <v>0.91304347826086951</v>
      </c>
      <c r="H897" s="1635">
        <f t="shared" si="188"/>
        <v>178500</v>
      </c>
      <c r="I897" s="1636">
        <v>178500</v>
      </c>
    </row>
    <row r="898" spans="1:27" ht="18.75" customHeight="1">
      <c r="A898" s="1666"/>
      <c r="B898" s="1678"/>
      <c r="C898" s="2065" t="s">
        <v>854</v>
      </c>
      <c r="D898" s="2064" t="s">
        <v>806</v>
      </c>
      <c r="E898" s="2051">
        <v>34500</v>
      </c>
      <c r="F898" s="1904">
        <f t="shared" si="187"/>
        <v>31500</v>
      </c>
      <c r="G898" s="2052">
        <f t="shared" si="184"/>
        <v>0.91304347826086951</v>
      </c>
      <c r="H898" s="1635">
        <f t="shared" si="188"/>
        <v>31500</v>
      </c>
      <c r="I898" s="1636">
        <v>31500</v>
      </c>
    </row>
    <row r="899" spans="1:27" ht="17.100000000000001" customHeight="1">
      <c r="A899" s="1666"/>
      <c r="B899" s="1666"/>
      <c r="C899" s="1826" t="s">
        <v>855</v>
      </c>
      <c r="D899" s="1969" t="s">
        <v>769</v>
      </c>
      <c r="E899" s="1904">
        <v>194259</v>
      </c>
      <c r="F899" s="1904">
        <f t="shared" si="187"/>
        <v>170000</v>
      </c>
      <c r="G899" s="2052">
        <f t="shared" si="184"/>
        <v>0.87512032904524373</v>
      </c>
      <c r="H899" s="1635">
        <f t="shared" si="188"/>
        <v>170000</v>
      </c>
      <c r="I899" s="1636">
        <v>170000</v>
      </c>
    </row>
    <row r="900" spans="1:27" ht="17.100000000000001" customHeight="1">
      <c r="A900" s="1666"/>
      <c r="B900" s="1666"/>
      <c r="C900" s="1826" t="s">
        <v>856</v>
      </c>
      <c r="D900" s="1969" t="s">
        <v>769</v>
      </c>
      <c r="E900" s="1904">
        <v>34281</v>
      </c>
      <c r="F900" s="1904">
        <f t="shared" si="187"/>
        <v>30000</v>
      </c>
      <c r="G900" s="2052">
        <f t="shared" si="184"/>
        <v>0.87512032904524373</v>
      </c>
      <c r="H900" s="1635">
        <f t="shared" si="188"/>
        <v>30000</v>
      </c>
      <c r="I900" s="1636">
        <v>30000</v>
      </c>
    </row>
    <row r="901" spans="1:27" ht="17.100000000000001" customHeight="1">
      <c r="A901" s="1666"/>
      <c r="B901" s="1678"/>
      <c r="C901" s="1699"/>
      <c r="D901" s="1699"/>
      <c r="E901" s="1683"/>
      <c r="F901" s="1683"/>
      <c r="G901" s="2070"/>
      <c r="H901" s="1635">
        <f t="shared" si="188"/>
        <v>0</v>
      </c>
    </row>
    <row r="902" spans="1:27" ht="17.100000000000001" customHeight="1">
      <c r="A902" s="1666"/>
      <c r="B902" s="1678"/>
      <c r="C902" s="3618" t="s">
        <v>810</v>
      </c>
      <c r="D902" s="3618"/>
      <c r="E902" s="2071">
        <f>E903</f>
        <v>7372925</v>
      </c>
      <c r="F902" s="2071">
        <f>F903</f>
        <v>4332952</v>
      </c>
      <c r="G902" s="2054">
        <f t="shared" si="184"/>
        <v>0.58768426370809412</v>
      </c>
      <c r="H902" s="1635">
        <f t="shared" si="188"/>
        <v>0</v>
      </c>
    </row>
    <row r="903" spans="1:27" ht="17.100000000000001" customHeight="1">
      <c r="A903" s="1666"/>
      <c r="B903" s="1678"/>
      <c r="C903" s="3615" t="s">
        <v>931</v>
      </c>
      <c r="D903" s="3615"/>
      <c r="E903" s="1904">
        <f>SUM(E904:E910)</f>
        <v>7372925</v>
      </c>
      <c r="F903" s="1904">
        <f>SUM(F904:F910)</f>
        <v>4332952</v>
      </c>
      <c r="G903" s="1905">
        <f t="shared" ref="G903:G973" si="189">F903/E903</f>
        <v>0.58768426370809412</v>
      </c>
      <c r="H903" s="1635">
        <f t="shared" si="188"/>
        <v>0</v>
      </c>
    </row>
    <row r="904" spans="1:27" ht="17.25" customHeight="1">
      <c r="A904" s="1666"/>
      <c r="B904" s="1678"/>
      <c r="C904" s="2058" t="s">
        <v>821</v>
      </c>
      <c r="D904" s="2059" t="s">
        <v>813</v>
      </c>
      <c r="E904" s="1904">
        <f>752000+259539</f>
        <v>1011539</v>
      </c>
      <c r="F904" s="1904">
        <f>H904</f>
        <v>3069952</v>
      </c>
      <c r="G904" s="1905">
        <f t="shared" si="189"/>
        <v>3.0349319205685594</v>
      </c>
      <c r="H904" s="1635">
        <f t="shared" si="188"/>
        <v>3069952</v>
      </c>
      <c r="I904" s="1636">
        <v>2045000</v>
      </c>
      <c r="O904" s="1636">
        <v>371952</v>
      </c>
      <c r="AA904" s="1637">
        <f>90000+563000</f>
        <v>653000</v>
      </c>
    </row>
    <row r="905" spans="1:27" ht="17.100000000000001" hidden="1" customHeight="1">
      <c r="A905" s="1666"/>
      <c r="B905" s="1678"/>
      <c r="C905" s="2058" t="s">
        <v>920</v>
      </c>
      <c r="D905" s="2059" t="s">
        <v>813</v>
      </c>
      <c r="E905" s="1904">
        <v>2903316</v>
      </c>
      <c r="F905" s="1904">
        <f t="shared" ref="F905:F910" si="190">H905</f>
        <v>0</v>
      </c>
      <c r="G905" s="1905">
        <f t="shared" si="189"/>
        <v>0</v>
      </c>
      <c r="H905" s="1635">
        <f t="shared" si="188"/>
        <v>0</v>
      </c>
    </row>
    <row r="906" spans="1:27" ht="17.100000000000001" hidden="1" customHeight="1">
      <c r="A906" s="1666"/>
      <c r="B906" s="1678"/>
      <c r="C906" s="2058" t="s">
        <v>921</v>
      </c>
      <c r="D906" s="2059" t="s">
        <v>813</v>
      </c>
      <c r="E906" s="1904">
        <v>380070</v>
      </c>
      <c r="F906" s="1904">
        <f t="shared" si="190"/>
        <v>0</v>
      </c>
      <c r="G906" s="1905">
        <f t="shared" si="189"/>
        <v>0</v>
      </c>
      <c r="H906" s="1635">
        <f t="shared" si="188"/>
        <v>0</v>
      </c>
    </row>
    <row r="907" spans="1:27" ht="17.100000000000001" customHeight="1">
      <c r="A907" s="1666"/>
      <c r="B907" s="3519"/>
      <c r="C907" s="2058" t="s">
        <v>812</v>
      </c>
      <c r="D907" s="2059" t="s">
        <v>861</v>
      </c>
      <c r="E907" s="1904">
        <v>2998000</v>
      </c>
      <c r="F907" s="1904">
        <f t="shared" si="190"/>
        <v>1213000</v>
      </c>
      <c r="G907" s="1905">
        <f t="shared" si="189"/>
        <v>0.40460306871247498</v>
      </c>
      <c r="H907" s="1635">
        <f t="shared" si="188"/>
        <v>1213000</v>
      </c>
      <c r="I907" s="1636">
        <v>1080000</v>
      </c>
      <c r="R907" s="1636">
        <v>33000</v>
      </c>
      <c r="AA907" s="1637">
        <v>100000</v>
      </c>
    </row>
    <row r="908" spans="1:27" ht="17.100000000000001" customHeight="1">
      <c r="A908" s="1666"/>
      <c r="B908" s="3519"/>
      <c r="C908" s="2058" t="s">
        <v>933</v>
      </c>
      <c r="D908" s="2059" t="s">
        <v>861</v>
      </c>
      <c r="E908" s="1904">
        <v>68000</v>
      </c>
      <c r="F908" s="1904">
        <f t="shared" si="190"/>
        <v>42500</v>
      </c>
      <c r="G908" s="1905">
        <f t="shared" si="189"/>
        <v>0.625</v>
      </c>
      <c r="H908" s="1635">
        <f t="shared" si="188"/>
        <v>42500</v>
      </c>
      <c r="I908" s="1636">
        <v>42500</v>
      </c>
    </row>
    <row r="909" spans="1:27" ht="17.100000000000001" customHeight="1">
      <c r="A909" s="1666"/>
      <c r="B909" s="3519"/>
      <c r="C909" s="2062" t="s">
        <v>918</v>
      </c>
      <c r="D909" s="2063" t="s">
        <v>861</v>
      </c>
      <c r="E909" s="1904">
        <v>12000</v>
      </c>
      <c r="F909" s="1904">
        <f t="shared" si="190"/>
        <v>7500</v>
      </c>
      <c r="G909" s="1905">
        <f t="shared" si="189"/>
        <v>0.625</v>
      </c>
      <c r="H909" s="1635">
        <f t="shared" si="188"/>
        <v>7500</v>
      </c>
      <c r="I909" s="1636">
        <v>7500</v>
      </c>
    </row>
    <row r="910" spans="1:27" ht="59.25" hidden="1" customHeight="1">
      <c r="A910" s="1666"/>
      <c r="B910" s="3519"/>
      <c r="C910" s="2072" t="s">
        <v>934</v>
      </c>
      <c r="D910" s="2073" t="s">
        <v>822</v>
      </c>
      <c r="E910" s="1904"/>
      <c r="F910" s="1904">
        <f t="shared" si="190"/>
        <v>0</v>
      </c>
      <c r="G910" s="1750" t="e">
        <f t="shared" si="189"/>
        <v>#DIV/0!</v>
      </c>
      <c r="H910" s="1635">
        <f t="shared" si="188"/>
        <v>0</v>
      </c>
    </row>
    <row r="911" spans="1:27" ht="17.100000000000001" customHeight="1">
      <c r="A911" s="1666"/>
      <c r="B911" s="3477"/>
      <c r="C911" s="1991"/>
      <c r="D911" s="2074"/>
      <c r="E911" s="2075"/>
      <c r="F911" s="2075"/>
      <c r="G911" s="2076"/>
      <c r="H911" s="1635">
        <f t="shared" si="188"/>
        <v>0</v>
      </c>
    </row>
    <row r="912" spans="1:27" ht="20.25" customHeight="1">
      <c r="A912" s="1666"/>
      <c r="B912" s="3477"/>
      <c r="C912" s="3514" t="s">
        <v>823</v>
      </c>
      <c r="D912" s="3610"/>
      <c r="E912" s="1833">
        <f>SUM(E913:E918)</f>
        <v>3622925</v>
      </c>
      <c r="F912" s="1833">
        <f>SUM(F913:F918)</f>
        <v>421952</v>
      </c>
      <c r="G912" s="1835">
        <f t="shared" si="189"/>
        <v>0.11646721916683343</v>
      </c>
      <c r="H912" s="1635">
        <f t="shared" si="188"/>
        <v>0</v>
      </c>
    </row>
    <row r="913" spans="1:28" ht="17.100000000000001" customHeight="1">
      <c r="A913" s="1666"/>
      <c r="B913" s="3477"/>
      <c r="C913" s="2058" t="s">
        <v>821</v>
      </c>
      <c r="D913" s="2059" t="s">
        <v>813</v>
      </c>
      <c r="E913" s="1904">
        <v>259539</v>
      </c>
      <c r="F913" s="1904">
        <f>H913</f>
        <v>371952</v>
      </c>
      <c r="G913" s="1835">
        <f t="shared" si="189"/>
        <v>1.4331256574156486</v>
      </c>
      <c r="H913" s="1635">
        <f t="shared" si="188"/>
        <v>371952</v>
      </c>
      <c r="O913" s="1636">
        <v>371952</v>
      </c>
    </row>
    <row r="914" spans="1:28" ht="17.100000000000001" hidden="1" customHeight="1">
      <c r="A914" s="1666"/>
      <c r="B914" s="3477"/>
      <c r="C914" s="2058" t="s">
        <v>920</v>
      </c>
      <c r="D914" s="2059" t="s">
        <v>813</v>
      </c>
      <c r="E914" s="1904">
        <v>2903316</v>
      </c>
      <c r="F914" s="1904">
        <f t="shared" ref="F914:F918" si="191">H914</f>
        <v>0</v>
      </c>
      <c r="G914" s="1905">
        <f t="shared" si="189"/>
        <v>0</v>
      </c>
      <c r="H914" s="1635">
        <f t="shared" si="188"/>
        <v>0</v>
      </c>
    </row>
    <row r="915" spans="1:28" ht="17.100000000000001" hidden="1" customHeight="1">
      <c r="A915" s="1666"/>
      <c r="B915" s="3477"/>
      <c r="C915" s="2058" t="s">
        <v>921</v>
      </c>
      <c r="D915" s="2059" t="s">
        <v>813</v>
      </c>
      <c r="E915" s="1904">
        <v>380070</v>
      </c>
      <c r="F915" s="1904">
        <f t="shared" si="191"/>
        <v>0</v>
      </c>
      <c r="G915" s="1905">
        <f t="shared" si="189"/>
        <v>0</v>
      </c>
      <c r="H915" s="1635">
        <f t="shared" si="188"/>
        <v>0</v>
      </c>
    </row>
    <row r="916" spans="1:28" ht="17.100000000000001" customHeight="1">
      <c r="A916" s="1666"/>
      <c r="B916" s="3477"/>
      <c r="C916" s="2077" t="s">
        <v>933</v>
      </c>
      <c r="D916" s="2078" t="s">
        <v>861</v>
      </c>
      <c r="E916" s="1904">
        <v>68000</v>
      </c>
      <c r="F916" s="1904">
        <f t="shared" si="191"/>
        <v>42500</v>
      </c>
      <c r="G916" s="1905">
        <f t="shared" si="189"/>
        <v>0.625</v>
      </c>
      <c r="H916" s="1635">
        <f t="shared" si="188"/>
        <v>42500</v>
      </c>
      <c r="I916" s="1636">
        <v>42500</v>
      </c>
    </row>
    <row r="917" spans="1:28" ht="17.100000000000001" customHeight="1" thickBot="1">
      <c r="A917" s="1666"/>
      <c r="B917" s="3477"/>
      <c r="C917" s="2062" t="s">
        <v>918</v>
      </c>
      <c r="D917" s="2063" t="s">
        <v>861</v>
      </c>
      <c r="E917" s="1904">
        <v>12000</v>
      </c>
      <c r="F917" s="1904">
        <f t="shared" si="191"/>
        <v>7500</v>
      </c>
      <c r="G917" s="1905">
        <f t="shared" si="189"/>
        <v>0.625</v>
      </c>
      <c r="H917" s="1635">
        <f t="shared" si="188"/>
        <v>7500</v>
      </c>
      <c r="I917" s="1636">
        <v>7500</v>
      </c>
    </row>
    <row r="918" spans="1:28" ht="54" hidden="1" customHeight="1" thickBot="1">
      <c r="A918" s="1666"/>
      <c r="B918" s="2079"/>
      <c r="C918" s="2080" t="s">
        <v>934</v>
      </c>
      <c r="D918" s="1707" t="s">
        <v>822</v>
      </c>
      <c r="E918" s="1688"/>
      <c r="F918" s="1904">
        <f t="shared" si="191"/>
        <v>0</v>
      </c>
      <c r="G918" s="1905" t="e">
        <f t="shared" si="189"/>
        <v>#DIV/0!</v>
      </c>
      <c r="H918" s="1635">
        <f t="shared" si="188"/>
        <v>0</v>
      </c>
    </row>
    <row r="919" spans="1:28" ht="17.100000000000001" hidden="1" customHeight="1" thickBot="1">
      <c r="A919" s="1666"/>
      <c r="B919" s="1734" t="s">
        <v>1035</v>
      </c>
      <c r="C919" s="1735"/>
      <c r="D919" s="1736" t="s">
        <v>1036</v>
      </c>
      <c r="E919" s="1737">
        <f t="shared" ref="E919:F921" si="192">E920</f>
        <v>0</v>
      </c>
      <c r="F919" s="1737">
        <f t="shared" si="192"/>
        <v>0</v>
      </c>
      <c r="G919" s="1738" t="e">
        <f t="shared" si="189"/>
        <v>#DIV/0!</v>
      </c>
      <c r="H919" s="1635">
        <f t="shared" si="188"/>
        <v>0</v>
      </c>
    </row>
    <row r="920" spans="1:28" ht="17.100000000000001" hidden="1" customHeight="1">
      <c r="A920" s="1666"/>
      <c r="B920" s="2079"/>
      <c r="C920" s="3472" t="s">
        <v>1017</v>
      </c>
      <c r="D920" s="3472"/>
      <c r="E920" s="1672">
        <f t="shared" si="192"/>
        <v>0</v>
      </c>
      <c r="F920" s="1672">
        <f t="shared" si="192"/>
        <v>0</v>
      </c>
      <c r="G920" s="1673" t="e">
        <f t="shared" si="189"/>
        <v>#DIV/0!</v>
      </c>
      <c r="H920" s="1635">
        <f t="shared" si="188"/>
        <v>0</v>
      </c>
    </row>
    <row r="921" spans="1:28" ht="17.100000000000001" hidden="1" customHeight="1">
      <c r="A921" s="1666"/>
      <c r="B921" s="2079"/>
      <c r="C921" s="3611" t="s">
        <v>857</v>
      </c>
      <c r="D921" s="3611"/>
      <c r="E921" s="2081">
        <f>E922</f>
        <v>0</v>
      </c>
      <c r="F921" s="2081">
        <f t="shared" si="192"/>
        <v>0</v>
      </c>
      <c r="G921" s="2082" t="e">
        <f t="shared" si="189"/>
        <v>#DIV/0!</v>
      </c>
      <c r="H921" s="1635">
        <f t="shared" si="188"/>
        <v>0</v>
      </c>
    </row>
    <row r="922" spans="1:28" ht="39" hidden="1" customHeight="1" thickBot="1">
      <c r="A922" s="1666"/>
      <c r="B922" s="2079"/>
      <c r="C922" s="2013" t="s">
        <v>394</v>
      </c>
      <c r="D922" s="1813" t="s">
        <v>978</v>
      </c>
      <c r="E922" s="1694"/>
      <c r="F922" s="1694">
        <f>H922</f>
        <v>0</v>
      </c>
      <c r="G922" s="2082" t="e">
        <f t="shared" si="189"/>
        <v>#DIV/0!</v>
      </c>
      <c r="H922" s="1635">
        <f t="shared" si="188"/>
        <v>0</v>
      </c>
    </row>
    <row r="923" spans="1:28" ht="17.100000000000001" customHeight="1" thickBot="1">
      <c r="A923" s="1666"/>
      <c r="B923" s="1734" t="s">
        <v>42</v>
      </c>
      <c r="C923" s="1735"/>
      <c r="D923" s="1736" t="s">
        <v>22</v>
      </c>
      <c r="E923" s="1737">
        <f t="shared" ref="E923:F924" si="193">E924</f>
        <v>20000</v>
      </c>
      <c r="F923" s="1737">
        <f t="shared" si="193"/>
        <v>20000</v>
      </c>
      <c r="G923" s="1738">
        <f t="shared" si="189"/>
        <v>1</v>
      </c>
      <c r="H923" s="1635">
        <f t="shared" si="188"/>
        <v>0</v>
      </c>
    </row>
    <row r="924" spans="1:28" ht="17.100000000000001" customHeight="1">
      <c r="A924" s="1666"/>
      <c r="B924" s="3467"/>
      <c r="C924" s="3472" t="s">
        <v>1017</v>
      </c>
      <c r="D924" s="3472"/>
      <c r="E924" s="1672">
        <f t="shared" si="193"/>
        <v>20000</v>
      </c>
      <c r="F924" s="1672">
        <f t="shared" si="193"/>
        <v>20000</v>
      </c>
      <c r="G924" s="1673">
        <f t="shared" si="189"/>
        <v>1</v>
      </c>
      <c r="H924" s="1635">
        <f t="shared" si="188"/>
        <v>0</v>
      </c>
    </row>
    <row r="925" spans="1:28" ht="17.100000000000001" customHeight="1">
      <c r="A925" s="1666"/>
      <c r="B925" s="3467"/>
      <c r="C925" s="3608" t="s">
        <v>756</v>
      </c>
      <c r="D925" s="3608"/>
      <c r="E925" s="1904">
        <f t="shared" ref="E925:F925" si="194">E926+E931</f>
        <v>20000</v>
      </c>
      <c r="F925" s="1904">
        <f t="shared" si="194"/>
        <v>20000</v>
      </c>
      <c r="G925" s="1905">
        <f t="shared" si="189"/>
        <v>1</v>
      </c>
      <c r="H925" s="1635">
        <f t="shared" si="188"/>
        <v>0</v>
      </c>
    </row>
    <row r="926" spans="1:28" ht="17.100000000000001" customHeight="1">
      <c r="A926" s="1666"/>
      <c r="B926" s="3467"/>
      <c r="C926" s="3612" t="s">
        <v>757</v>
      </c>
      <c r="D926" s="3612"/>
      <c r="E926" s="1906">
        <f t="shared" ref="E926:F926" si="195">SUM(E927:E929)</f>
        <v>11270</v>
      </c>
      <c r="F926" s="1906">
        <f t="shared" si="195"/>
        <v>11270</v>
      </c>
      <c r="G926" s="1907">
        <f t="shared" si="189"/>
        <v>1</v>
      </c>
      <c r="H926" s="1635">
        <f t="shared" si="188"/>
        <v>0</v>
      </c>
    </row>
    <row r="927" spans="1:28" ht="17.100000000000001" customHeight="1">
      <c r="A927" s="1666"/>
      <c r="B927" s="3467"/>
      <c r="C927" s="2058" t="s">
        <v>762</v>
      </c>
      <c r="D927" s="2059" t="s">
        <v>763</v>
      </c>
      <c r="E927" s="1904">
        <v>700</v>
      </c>
      <c r="F927" s="1904">
        <f>H927</f>
        <v>700</v>
      </c>
      <c r="G927" s="1905">
        <f t="shared" si="189"/>
        <v>1</v>
      </c>
      <c r="H927" s="1635">
        <f t="shared" si="188"/>
        <v>700</v>
      </c>
      <c r="AB927" s="1637">
        <v>700</v>
      </c>
    </row>
    <row r="928" spans="1:28" ht="28.5" customHeight="1">
      <c r="A928" s="1666"/>
      <c r="B928" s="3467"/>
      <c r="C928" s="2058" t="s">
        <v>764</v>
      </c>
      <c r="D928" s="2059" t="s">
        <v>1440</v>
      </c>
      <c r="E928" s="1904">
        <v>140</v>
      </c>
      <c r="F928" s="1904">
        <f t="shared" ref="F928:F929" si="196">H928</f>
        <v>140</v>
      </c>
      <c r="G928" s="1905">
        <f t="shared" si="189"/>
        <v>1</v>
      </c>
      <c r="H928" s="1635">
        <f t="shared" si="188"/>
        <v>140</v>
      </c>
      <c r="AB928" s="1637">
        <v>140</v>
      </c>
    </row>
    <row r="929" spans="1:28" ht="17.100000000000001" customHeight="1">
      <c r="A929" s="1666"/>
      <c r="B929" s="1678"/>
      <c r="C929" s="2058" t="s">
        <v>766</v>
      </c>
      <c r="D929" s="2059" t="s">
        <v>767</v>
      </c>
      <c r="E929" s="1904">
        <v>10430</v>
      </c>
      <c r="F929" s="1904">
        <f t="shared" si="196"/>
        <v>10430</v>
      </c>
      <c r="G929" s="1905">
        <f t="shared" si="189"/>
        <v>1</v>
      </c>
      <c r="H929" s="1635">
        <f t="shared" si="188"/>
        <v>10430</v>
      </c>
      <c r="AB929" s="1637">
        <v>10430</v>
      </c>
    </row>
    <row r="930" spans="1:28" ht="17.100000000000001" customHeight="1">
      <c r="A930" s="1666"/>
      <c r="B930" s="1678"/>
      <c r="C930" s="1991"/>
      <c r="D930" s="1797"/>
      <c r="E930" s="1798"/>
      <c r="F930" s="1798"/>
      <c r="G930" s="1784"/>
      <c r="H930" s="1635">
        <f t="shared" si="188"/>
        <v>0</v>
      </c>
    </row>
    <row r="931" spans="1:28" ht="17.100000000000001" customHeight="1">
      <c r="A931" s="1666"/>
      <c r="B931" s="1678"/>
      <c r="C931" s="3514" t="s">
        <v>770</v>
      </c>
      <c r="D931" s="3514"/>
      <c r="E931" s="1833">
        <f t="shared" ref="E931:F931" si="197">SUM(E932:E933)</f>
        <v>8730</v>
      </c>
      <c r="F931" s="1833">
        <f t="shared" si="197"/>
        <v>8730</v>
      </c>
      <c r="G931" s="1835">
        <f t="shared" si="189"/>
        <v>1</v>
      </c>
      <c r="H931" s="1635">
        <f t="shared" si="188"/>
        <v>0</v>
      </c>
    </row>
    <row r="932" spans="1:28" ht="17.100000000000001" customHeight="1">
      <c r="A932" s="1666"/>
      <c r="B932" s="1678"/>
      <c r="C932" s="2065" t="s">
        <v>773</v>
      </c>
      <c r="D932" s="2064" t="s">
        <v>774</v>
      </c>
      <c r="E932" s="2051">
        <v>3500</v>
      </c>
      <c r="F932" s="2051">
        <f>H932</f>
        <v>3500</v>
      </c>
      <c r="G932" s="2052">
        <f t="shared" si="189"/>
        <v>1</v>
      </c>
      <c r="H932" s="1635">
        <f t="shared" si="188"/>
        <v>3500</v>
      </c>
      <c r="AB932" s="1637">
        <v>3500</v>
      </c>
    </row>
    <row r="933" spans="1:28" ht="17.100000000000001" customHeight="1" thickBot="1">
      <c r="A933" s="1666"/>
      <c r="B933" s="1678"/>
      <c r="C933" s="2013" t="s">
        <v>783</v>
      </c>
      <c r="D933" s="1813" t="s">
        <v>784</v>
      </c>
      <c r="E933" s="1694">
        <v>5230</v>
      </c>
      <c r="F933" s="2051">
        <f>H933</f>
        <v>5230</v>
      </c>
      <c r="G933" s="1695">
        <f t="shared" si="189"/>
        <v>1</v>
      </c>
      <c r="H933" s="1635">
        <f t="shared" si="188"/>
        <v>5230</v>
      </c>
      <c r="AB933" s="1637">
        <v>5230</v>
      </c>
    </row>
    <row r="934" spans="1:28" ht="17.100000000000001" customHeight="1" thickBot="1">
      <c r="A934" s="1666"/>
      <c r="B934" s="1734" t="s">
        <v>273</v>
      </c>
      <c r="C934" s="1735"/>
      <c r="D934" s="1736" t="s">
        <v>274</v>
      </c>
      <c r="E934" s="1737">
        <f>E935+E993</f>
        <v>31005053</v>
      </c>
      <c r="F934" s="1737">
        <f>F935+F993</f>
        <v>21239207</v>
      </c>
      <c r="G934" s="1738">
        <f t="shared" si="189"/>
        <v>0.6850240507571459</v>
      </c>
      <c r="H934" s="1635">
        <f t="shared" si="188"/>
        <v>0</v>
      </c>
    </row>
    <row r="935" spans="1:28" ht="17.100000000000001" customHeight="1">
      <c r="A935" s="1666"/>
      <c r="B935" s="1683"/>
      <c r="C935" s="3472" t="s">
        <v>755</v>
      </c>
      <c r="D935" s="3472"/>
      <c r="E935" s="1672">
        <f>E936+E952+E956</f>
        <v>30498832</v>
      </c>
      <c r="F935" s="1672">
        <f t="shared" ref="F935" si="198">F936+F952+F956</f>
        <v>20804438</v>
      </c>
      <c r="G935" s="1673">
        <f t="shared" si="189"/>
        <v>0.68213884387441459</v>
      </c>
      <c r="H935" s="1635">
        <f t="shared" si="188"/>
        <v>0</v>
      </c>
    </row>
    <row r="936" spans="1:28" ht="17.100000000000001" customHeight="1">
      <c r="A936" s="1666"/>
      <c r="B936" s="1683"/>
      <c r="C936" s="3608" t="s">
        <v>756</v>
      </c>
      <c r="D936" s="3608"/>
      <c r="E936" s="1904">
        <f>E937+E942</f>
        <v>15866299</v>
      </c>
      <c r="F936" s="1904">
        <f t="shared" ref="F936" si="199">F937+F942</f>
        <v>6177218</v>
      </c>
      <c r="G936" s="1905">
        <f t="shared" si="189"/>
        <v>0.38932948383236693</v>
      </c>
      <c r="H936" s="1635">
        <f t="shared" si="188"/>
        <v>0</v>
      </c>
    </row>
    <row r="937" spans="1:28" ht="17.100000000000001" customHeight="1">
      <c r="A937" s="1666"/>
      <c r="B937" s="1683"/>
      <c r="C937" s="3612" t="s">
        <v>757</v>
      </c>
      <c r="D937" s="3612"/>
      <c r="E937" s="1906">
        <f>SUM(E938:E940)</f>
        <v>56253</v>
      </c>
      <c r="F937" s="1906">
        <f>SUM(F938:F940)</f>
        <v>66400</v>
      </c>
      <c r="G937" s="1907">
        <f t="shared" si="189"/>
        <v>1.180381490764937</v>
      </c>
      <c r="H937" s="1635">
        <f t="shared" si="188"/>
        <v>0</v>
      </c>
    </row>
    <row r="938" spans="1:28" ht="17.100000000000001" customHeight="1">
      <c r="A938" s="1666"/>
      <c r="B938" s="1683"/>
      <c r="C938" s="2058" t="s">
        <v>766</v>
      </c>
      <c r="D938" s="2059" t="s">
        <v>767</v>
      </c>
      <c r="E938" s="1904">
        <f>15253+41000</f>
        <v>56253</v>
      </c>
      <c r="F938" s="1904">
        <f>H938</f>
        <v>65500</v>
      </c>
      <c r="G938" s="1905">
        <f t="shared" si="189"/>
        <v>1.1643823440527616</v>
      </c>
      <c r="H938" s="1635">
        <f t="shared" si="188"/>
        <v>65500</v>
      </c>
      <c r="Z938" s="1637">
        <v>15500</v>
      </c>
      <c r="AB938" s="1637">
        <v>50000</v>
      </c>
    </row>
    <row r="939" spans="1:28" ht="17.100000000000001" customHeight="1">
      <c r="A939" s="1666"/>
      <c r="B939" s="1683"/>
      <c r="C939" s="2058" t="s">
        <v>762</v>
      </c>
      <c r="D939" s="2059" t="s">
        <v>763</v>
      </c>
      <c r="E939" s="1904">
        <v>0</v>
      </c>
      <c r="F939" s="1904">
        <f t="shared" ref="F939:F940" si="200">H939</f>
        <v>600</v>
      </c>
      <c r="G939" s="1905"/>
      <c r="H939" s="1635">
        <f t="shared" si="188"/>
        <v>600</v>
      </c>
      <c r="Z939" s="1637">
        <v>600</v>
      </c>
    </row>
    <row r="940" spans="1:28" ht="24" customHeight="1">
      <c r="A940" s="1666"/>
      <c r="B940" s="1683"/>
      <c r="C940" s="2058" t="s">
        <v>764</v>
      </c>
      <c r="D940" s="2059" t="s">
        <v>1440</v>
      </c>
      <c r="E940" s="1904">
        <v>0</v>
      </c>
      <c r="F940" s="1904">
        <f t="shared" si="200"/>
        <v>300</v>
      </c>
      <c r="G940" s="1905"/>
      <c r="H940" s="1635">
        <f t="shared" si="188"/>
        <v>300</v>
      </c>
      <c r="Z940" s="1637">
        <v>300</v>
      </c>
    </row>
    <row r="941" spans="1:28" ht="17.100000000000001" customHeight="1">
      <c r="A941" s="1666"/>
      <c r="B941" s="1683"/>
      <c r="C941" s="1699"/>
      <c r="D941" s="1699"/>
      <c r="E941" s="1683"/>
      <c r="F941" s="1683"/>
      <c r="G941" s="1684"/>
      <c r="H941" s="1635">
        <f t="shared" si="188"/>
        <v>0</v>
      </c>
    </row>
    <row r="942" spans="1:28" ht="17.100000000000001" customHeight="1">
      <c r="A942" s="1666"/>
      <c r="B942" s="1683"/>
      <c r="C942" s="3619" t="s">
        <v>770</v>
      </c>
      <c r="D942" s="3620"/>
      <c r="E942" s="1906">
        <f>SUM(E943:E950)</f>
        <v>15810046</v>
      </c>
      <c r="F942" s="1906">
        <f>SUM(F943:F950)</f>
        <v>6110818</v>
      </c>
      <c r="G942" s="1907">
        <f t="shared" si="189"/>
        <v>0.38651487794532668</v>
      </c>
      <c r="H942" s="1635">
        <f t="shared" si="188"/>
        <v>0</v>
      </c>
    </row>
    <row r="943" spans="1:28" ht="17.100000000000001" customHeight="1">
      <c r="A943" s="1666"/>
      <c r="B943" s="1683"/>
      <c r="C943" s="2060" t="s">
        <v>869</v>
      </c>
      <c r="D943" s="2083" t="s">
        <v>839</v>
      </c>
      <c r="E943" s="1904">
        <f>15000+30000+44710</f>
        <v>89710</v>
      </c>
      <c r="F943" s="1904">
        <f>H943</f>
        <v>91643</v>
      </c>
      <c r="G943" s="1905">
        <f t="shared" si="189"/>
        <v>1.0215472076691561</v>
      </c>
      <c r="H943" s="1635">
        <f t="shared" si="188"/>
        <v>91643</v>
      </c>
      <c r="R943" s="1636">
        <v>56493</v>
      </c>
      <c r="Y943" s="1636">
        <v>5150</v>
      </c>
      <c r="Z943" s="1637">
        <v>30000</v>
      </c>
    </row>
    <row r="944" spans="1:28" ht="17.100000000000001" customHeight="1">
      <c r="A944" s="1666"/>
      <c r="B944" s="1683"/>
      <c r="C944" s="1719" t="s">
        <v>773</v>
      </c>
      <c r="D944" s="2059" t="s">
        <v>774</v>
      </c>
      <c r="E944" s="1904">
        <f>38273+102000+4000+18000+310000</f>
        <v>472273</v>
      </c>
      <c r="F944" s="1904">
        <f t="shared" ref="F944:F950" si="201">H944</f>
        <v>480261</v>
      </c>
      <c r="G944" s="1905">
        <f t="shared" si="189"/>
        <v>1.0169139459592227</v>
      </c>
      <c r="H944" s="1635">
        <f t="shared" si="188"/>
        <v>480261</v>
      </c>
      <c r="R944" s="1636">
        <v>18540</v>
      </c>
      <c r="V944" s="1636">
        <v>0</v>
      </c>
      <c r="Y944" s="1636">
        <v>49721</v>
      </c>
      <c r="Z944" s="1637">
        <v>102000</v>
      </c>
      <c r="AB944" s="1637">
        <v>310000</v>
      </c>
    </row>
    <row r="945" spans="1:28" ht="17.100000000000001" customHeight="1" thickBot="1">
      <c r="A945" s="1792"/>
      <c r="B945" s="2766"/>
      <c r="C945" s="3195" t="s">
        <v>779</v>
      </c>
      <c r="D945" s="3121" t="s">
        <v>780</v>
      </c>
      <c r="E945" s="1694">
        <v>15000</v>
      </c>
      <c r="F945" s="1694">
        <f t="shared" si="201"/>
        <v>25000</v>
      </c>
      <c r="G945" s="1905">
        <f t="shared" si="189"/>
        <v>1.6666666666666667</v>
      </c>
      <c r="H945" s="1635">
        <f t="shared" si="188"/>
        <v>25000</v>
      </c>
      <c r="Z945" s="1637">
        <v>0</v>
      </c>
      <c r="AB945" s="1637">
        <v>25000</v>
      </c>
    </row>
    <row r="946" spans="1:28" ht="17.100000000000001" customHeight="1">
      <c r="A946" s="1666"/>
      <c r="B946" s="1683"/>
      <c r="C946" s="3193" t="s">
        <v>783</v>
      </c>
      <c r="D946" s="3194" t="s">
        <v>784</v>
      </c>
      <c r="E946" s="3078">
        <f>30000+495900+129000+164138+14214025</f>
        <v>15033063</v>
      </c>
      <c r="F946" s="3078">
        <f t="shared" si="201"/>
        <v>5418914</v>
      </c>
      <c r="G946" s="1905">
        <f t="shared" si="189"/>
        <v>0.36046639330920122</v>
      </c>
      <c r="H946" s="1635">
        <f t="shared" si="188"/>
        <v>5418914</v>
      </c>
      <c r="R946" s="1636">
        <v>158620</v>
      </c>
      <c r="V946" s="1636">
        <v>130000</v>
      </c>
      <c r="Y946" s="1636">
        <v>30900</v>
      </c>
      <c r="Z946" s="1637">
        <v>495336</v>
      </c>
      <c r="AB946" s="1637">
        <v>4604058</v>
      </c>
    </row>
    <row r="947" spans="1:28">
      <c r="A947" s="1666"/>
      <c r="B947" s="1683"/>
      <c r="C947" s="2058" t="s">
        <v>950</v>
      </c>
      <c r="D947" s="2059" t="s">
        <v>951</v>
      </c>
      <c r="E947" s="1904">
        <f>25000+10000</f>
        <v>35000</v>
      </c>
      <c r="F947" s="1904">
        <f t="shared" si="201"/>
        <v>25000</v>
      </c>
      <c r="G947" s="1905">
        <f t="shared" si="189"/>
        <v>0.7142857142857143</v>
      </c>
      <c r="H947" s="1635">
        <f t="shared" si="188"/>
        <v>25000</v>
      </c>
      <c r="Z947" s="1637">
        <v>25000</v>
      </c>
      <c r="AB947" s="1637">
        <v>0</v>
      </c>
    </row>
    <row r="948" spans="1:28" ht="17.100000000000001" customHeight="1">
      <c r="A948" s="1666"/>
      <c r="B948" s="1683"/>
      <c r="C948" s="1719" t="s">
        <v>787</v>
      </c>
      <c r="D948" s="1720" t="s">
        <v>788</v>
      </c>
      <c r="E948" s="1904">
        <v>150000</v>
      </c>
      <c r="F948" s="1904">
        <f t="shared" si="201"/>
        <v>50000</v>
      </c>
      <c r="G948" s="1905">
        <f t="shared" si="189"/>
        <v>0.33333333333333331</v>
      </c>
      <c r="H948" s="1635">
        <f t="shared" si="188"/>
        <v>50000</v>
      </c>
      <c r="AB948" s="1637">
        <v>50000</v>
      </c>
    </row>
    <row r="949" spans="1:28" ht="17.100000000000001" customHeight="1">
      <c r="A949" s="1666"/>
      <c r="B949" s="1683"/>
      <c r="C949" s="2084" t="s">
        <v>927</v>
      </c>
      <c r="D949" s="2085" t="s">
        <v>928</v>
      </c>
      <c r="E949" s="1904">
        <v>15000</v>
      </c>
      <c r="F949" s="1904">
        <f t="shared" si="201"/>
        <v>20000</v>
      </c>
      <c r="G949" s="1905">
        <f t="shared" si="189"/>
        <v>1.3333333333333333</v>
      </c>
      <c r="H949" s="1635">
        <f t="shared" si="188"/>
        <v>20000</v>
      </c>
      <c r="V949" s="1636">
        <v>20000</v>
      </c>
    </row>
    <row r="950" spans="1:28" ht="17.100000000000001" hidden="1" customHeight="1">
      <c r="A950" s="1666"/>
      <c r="B950" s="1683"/>
      <c r="C950" s="2086" t="s">
        <v>803</v>
      </c>
      <c r="D950" s="1819" t="s">
        <v>804</v>
      </c>
      <c r="E950" s="1904">
        <v>0</v>
      </c>
      <c r="F950" s="1904">
        <f t="shared" si="201"/>
        <v>0</v>
      </c>
      <c r="G950" s="1905" t="e">
        <f t="shared" si="189"/>
        <v>#DIV/0!</v>
      </c>
      <c r="H950" s="1635">
        <f t="shared" si="188"/>
        <v>0</v>
      </c>
    </row>
    <row r="951" spans="1:28" ht="17.100000000000001" customHeight="1" thickBot="1">
      <c r="A951" s="3182"/>
      <c r="B951" s="1683"/>
      <c r="C951" s="3070"/>
      <c r="D951" s="3070"/>
      <c r="E951" s="2766"/>
      <c r="F951" s="1694"/>
      <c r="G951" s="1684"/>
      <c r="H951" s="1635">
        <f t="shared" si="188"/>
        <v>0</v>
      </c>
    </row>
    <row r="952" spans="1:28" ht="17.100000000000001" customHeight="1">
      <c r="A952" s="1666"/>
      <c r="B952" s="1683"/>
      <c r="C952" s="3621" t="s">
        <v>857</v>
      </c>
      <c r="D952" s="3621"/>
      <c r="E952" s="3078">
        <f>E953+E954</f>
        <v>286200</v>
      </c>
      <c r="F952" s="3078">
        <f>F953+F954</f>
        <v>299800</v>
      </c>
      <c r="G952" s="1905">
        <f t="shared" si="189"/>
        <v>1.0475192173305381</v>
      </c>
      <c r="H952" s="1635">
        <f t="shared" si="188"/>
        <v>0</v>
      </c>
    </row>
    <row r="953" spans="1:28" ht="40.5" customHeight="1">
      <c r="A953" s="1666"/>
      <c r="B953" s="1683"/>
      <c r="C953" s="2058" t="s">
        <v>275</v>
      </c>
      <c r="D953" s="2059" t="s">
        <v>956</v>
      </c>
      <c r="E953" s="1904">
        <v>286200</v>
      </c>
      <c r="F953" s="1904">
        <f>H953</f>
        <v>299800</v>
      </c>
      <c r="G953" s="1905">
        <f t="shared" si="189"/>
        <v>1.0475192173305381</v>
      </c>
      <c r="H953" s="1635">
        <f t="shared" si="188"/>
        <v>299800</v>
      </c>
      <c r="Z953" s="1637">
        <v>299800</v>
      </c>
    </row>
    <row r="954" spans="1:28" ht="33.75" hidden="1" customHeight="1">
      <c r="A954" s="1666"/>
      <c r="B954" s="1683"/>
      <c r="C954" s="2086" t="s">
        <v>394</v>
      </c>
      <c r="D954" s="1819" t="s">
        <v>978</v>
      </c>
      <c r="E954" s="1749"/>
      <c r="F954" s="1904">
        <f>H954</f>
        <v>0</v>
      </c>
      <c r="G954" s="1750" t="e">
        <f t="shared" si="189"/>
        <v>#DIV/0!</v>
      </c>
      <c r="H954" s="1635">
        <f t="shared" ref="H954:H1018" si="202">SUM(I954:AE954)</f>
        <v>0</v>
      </c>
    </row>
    <row r="955" spans="1:28" ht="18" customHeight="1">
      <c r="A955" s="1666"/>
      <c r="B955" s="1683"/>
      <c r="C955" s="1699"/>
      <c r="D955" s="1699"/>
      <c r="E955" s="1683"/>
      <c r="F955" s="1683"/>
      <c r="G955" s="1684"/>
      <c r="H955" s="1635">
        <f t="shared" si="202"/>
        <v>0</v>
      </c>
    </row>
    <row r="956" spans="1:28" ht="18" customHeight="1">
      <c r="A956" s="1666"/>
      <c r="B956" s="1683"/>
      <c r="C956" s="3608" t="s">
        <v>825</v>
      </c>
      <c r="D956" s="3608"/>
      <c r="E956" s="1904">
        <f>SUM(E957:E991)</f>
        <v>14346333</v>
      </c>
      <c r="F956" s="1904">
        <f>SUM(F957:F991)</f>
        <v>14327420</v>
      </c>
      <c r="G956" s="1905">
        <f t="shared" si="189"/>
        <v>0.99868168402336677</v>
      </c>
      <c r="H956" s="1635">
        <f t="shared" si="202"/>
        <v>0</v>
      </c>
    </row>
    <row r="957" spans="1:28" ht="61.5" hidden="1" customHeight="1">
      <c r="A957" s="1666"/>
      <c r="B957" s="1683"/>
      <c r="C957" s="2087" t="s">
        <v>484</v>
      </c>
      <c r="D957" s="2088" t="s">
        <v>826</v>
      </c>
      <c r="E957" s="1904">
        <v>52552</v>
      </c>
      <c r="F957" s="1904">
        <f>H957</f>
        <v>0</v>
      </c>
      <c r="G957" s="1905">
        <f t="shared" si="189"/>
        <v>0</v>
      </c>
      <c r="H957" s="1635">
        <f t="shared" si="202"/>
        <v>0</v>
      </c>
    </row>
    <row r="958" spans="1:28" ht="58.5" hidden="1" customHeight="1">
      <c r="A958" s="1666"/>
      <c r="B958" s="1683"/>
      <c r="C958" s="2087" t="s">
        <v>457</v>
      </c>
      <c r="D958" s="2088" t="s">
        <v>885</v>
      </c>
      <c r="E958" s="1904"/>
      <c r="F958" s="1904">
        <f t="shared" ref="F958:F991" si="203">H958</f>
        <v>0</v>
      </c>
      <c r="G958" s="1905" t="e">
        <f t="shared" si="189"/>
        <v>#DIV/0!</v>
      </c>
      <c r="H958" s="1635">
        <f t="shared" si="202"/>
        <v>0</v>
      </c>
    </row>
    <row r="959" spans="1:28" ht="18" hidden="1" customHeight="1">
      <c r="A959" s="1666"/>
      <c r="B959" s="1683"/>
      <c r="C959" s="2087" t="s">
        <v>637</v>
      </c>
      <c r="D959" s="2088" t="s">
        <v>886</v>
      </c>
      <c r="E959" s="2089"/>
      <c r="F959" s="2089">
        <f t="shared" si="203"/>
        <v>0</v>
      </c>
      <c r="G959" s="2090" t="e">
        <f t="shared" si="189"/>
        <v>#DIV/0!</v>
      </c>
      <c r="H959" s="1635">
        <f t="shared" si="202"/>
        <v>0</v>
      </c>
    </row>
    <row r="960" spans="1:28" ht="18" customHeight="1">
      <c r="A960" s="1666"/>
      <c r="B960" s="1683"/>
      <c r="C960" s="2091" t="s">
        <v>887</v>
      </c>
      <c r="D960" s="2059" t="s">
        <v>759</v>
      </c>
      <c r="E960" s="2089">
        <v>479000</v>
      </c>
      <c r="F960" s="2089">
        <f t="shared" si="203"/>
        <v>480000</v>
      </c>
      <c r="G960" s="2090">
        <f t="shared" si="189"/>
        <v>1.0020876826722338</v>
      </c>
      <c r="H960" s="1635">
        <f t="shared" si="202"/>
        <v>480000</v>
      </c>
      <c r="AB960" s="1637">
        <v>480000</v>
      </c>
    </row>
    <row r="961" spans="1:28" ht="18" customHeight="1">
      <c r="A961" s="1666"/>
      <c r="B961" s="1683"/>
      <c r="C961" s="2092" t="s">
        <v>828</v>
      </c>
      <c r="D961" s="2059" t="s">
        <v>759</v>
      </c>
      <c r="E961" s="2089">
        <v>42816</v>
      </c>
      <c r="F961" s="2089">
        <f t="shared" si="203"/>
        <v>7105</v>
      </c>
      <c r="G961" s="2090">
        <f t="shared" si="189"/>
        <v>0.16594263826606875</v>
      </c>
      <c r="H961" s="1635">
        <f t="shared" si="202"/>
        <v>7105</v>
      </c>
      <c r="X961" s="1636">
        <v>7105</v>
      </c>
    </row>
    <row r="962" spans="1:28" ht="18" customHeight="1">
      <c r="A962" s="1666"/>
      <c r="B962" s="1683"/>
      <c r="C962" s="2092" t="s">
        <v>829</v>
      </c>
      <c r="D962" s="2059" t="s">
        <v>759</v>
      </c>
      <c r="E962" s="2089">
        <v>5613</v>
      </c>
      <c r="F962" s="2089">
        <f t="shared" si="203"/>
        <v>1254</v>
      </c>
      <c r="G962" s="2090">
        <f t="shared" si="189"/>
        <v>0.22340994120791022</v>
      </c>
      <c r="H962" s="1635">
        <f t="shared" si="202"/>
        <v>1254</v>
      </c>
      <c r="X962" s="1636">
        <v>1254</v>
      </c>
    </row>
    <row r="963" spans="1:28" ht="18" customHeight="1">
      <c r="A963" s="1666"/>
      <c r="B963" s="1683"/>
      <c r="C963" s="2092" t="s">
        <v>889</v>
      </c>
      <c r="D963" s="2059" t="s">
        <v>763</v>
      </c>
      <c r="E963" s="2089">
        <v>83424</v>
      </c>
      <c r="F963" s="2089">
        <f t="shared" si="203"/>
        <v>83424</v>
      </c>
      <c r="G963" s="2090">
        <f t="shared" si="189"/>
        <v>1</v>
      </c>
      <c r="H963" s="1635">
        <f t="shared" si="202"/>
        <v>83424</v>
      </c>
      <c r="AB963" s="1637">
        <v>83424</v>
      </c>
    </row>
    <row r="964" spans="1:28" ht="18" customHeight="1">
      <c r="A964" s="1666"/>
      <c r="B964" s="1683"/>
      <c r="C964" s="2092" t="s">
        <v>832</v>
      </c>
      <c r="D964" s="2059" t="s">
        <v>763</v>
      </c>
      <c r="E964" s="2089">
        <v>8636</v>
      </c>
      <c r="F964" s="2089">
        <f t="shared" si="203"/>
        <v>1221</v>
      </c>
      <c r="G964" s="2090">
        <f t="shared" si="189"/>
        <v>0.14138490041685967</v>
      </c>
      <c r="H964" s="1635">
        <f t="shared" si="202"/>
        <v>1221</v>
      </c>
      <c r="X964" s="1636">
        <v>1221</v>
      </c>
    </row>
    <row r="965" spans="1:28" ht="18" customHeight="1">
      <c r="A965" s="1666"/>
      <c r="B965" s="1683"/>
      <c r="C965" s="2092" t="s">
        <v>833</v>
      </c>
      <c r="D965" s="2059" t="s">
        <v>763</v>
      </c>
      <c r="E965" s="2089">
        <v>1188</v>
      </c>
      <c r="F965" s="2089">
        <f t="shared" si="203"/>
        <v>216</v>
      </c>
      <c r="G965" s="2090">
        <f t="shared" si="189"/>
        <v>0.18181818181818182</v>
      </c>
      <c r="H965" s="1635">
        <f t="shared" si="202"/>
        <v>216</v>
      </c>
      <c r="X965" s="1636">
        <v>216</v>
      </c>
    </row>
    <row r="966" spans="1:28" ht="28.5" customHeight="1">
      <c r="A966" s="1666"/>
      <c r="B966" s="1683"/>
      <c r="C966" s="2092" t="s">
        <v>890</v>
      </c>
      <c r="D966" s="2059" t="s">
        <v>1440</v>
      </c>
      <c r="E966" s="2089">
        <v>11760</v>
      </c>
      <c r="F966" s="2089">
        <f t="shared" si="203"/>
        <v>11760</v>
      </c>
      <c r="G966" s="2090">
        <f t="shared" si="189"/>
        <v>1</v>
      </c>
      <c r="H966" s="1635">
        <f t="shared" si="202"/>
        <v>11760</v>
      </c>
      <c r="AB966" s="1637">
        <v>11760</v>
      </c>
    </row>
    <row r="967" spans="1:28" ht="29.25" customHeight="1">
      <c r="A967" s="1666"/>
      <c r="B967" s="1683"/>
      <c r="C967" s="2092" t="s">
        <v>834</v>
      </c>
      <c r="D967" s="2059" t="s">
        <v>1440</v>
      </c>
      <c r="E967" s="2089">
        <v>1222</v>
      </c>
      <c r="F967" s="2089">
        <f t="shared" si="203"/>
        <v>173</v>
      </c>
      <c r="G967" s="2090">
        <f t="shared" si="189"/>
        <v>0.14157119476268412</v>
      </c>
      <c r="H967" s="1635">
        <f t="shared" si="202"/>
        <v>173</v>
      </c>
      <c r="X967" s="1636">
        <v>173</v>
      </c>
    </row>
    <row r="968" spans="1:28" ht="27.75" customHeight="1">
      <c r="A968" s="1666"/>
      <c r="B968" s="1683"/>
      <c r="C968" s="2092" t="s">
        <v>835</v>
      </c>
      <c r="D968" s="2059" t="s">
        <v>1440</v>
      </c>
      <c r="E968" s="2089">
        <v>168</v>
      </c>
      <c r="F968" s="2089">
        <f t="shared" si="203"/>
        <v>31</v>
      </c>
      <c r="G968" s="2090">
        <f t="shared" si="189"/>
        <v>0.18452380952380953</v>
      </c>
      <c r="H968" s="1635">
        <f t="shared" si="202"/>
        <v>31</v>
      </c>
      <c r="X968" s="1636">
        <v>31</v>
      </c>
    </row>
    <row r="969" spans="1:28" ht="18" customHeight="1">
      <c r="A969" s="1666"/>
      <c r="B969" s="1683"/>
      <c r="C969" s="2093" t="s">
        <v>1003</v>
      </c>
      <c r="D969" s="2063" t="s">
        <v>767</v>
      </c>
      <c r="E969" s="2089">
        <v>20000</v>
      </c>
      <c r="F969" s="2089">
        <f t="shared" si="203"/>
        <v>20000</v>
      </c>
      <c r="G969" s="2090">
        <f t="shared" si="189"/>
        <v>1</v>
      </c>
      <c r="H969" s="1635">
        <f t="shared" si="202"/>
        <v>20000</v>
      </c>
      <c r="AB969" s="1637">
        <v>20000</v>
      </c>
    </row>
    <row r="970" spans="1:28" ht="18" hidden="1" customHeight="1">
      <c r="A970" s="1666"/>
      <c r="B970" s="1683"/>
      <c r="C970" s="2066" t="s">
        <v>836</v>
      </c>
      <c r="D970" s="1720" t="s">
        <v>767</v>
      </c>
      <c r="E970" s="1749">
        <v>7087</v>
      </c>
      <c r="F970" s="2089">
        <f t="shared" si="203"/>
        <v>0</v>
      </c>
      <c r="G970" s="2090">
        <f t="shared" si="189"/>
        <v>0</v>
      </c>
      <c r="H970" s="1635">
        <f t="shared" si="202"/>
        <v>0</v>
      </c>
    </row>
    <row r="971" spans="1:28" ht="18" hidden="1" customHeight="1">
      <c r="A971" s="1666"/>
      <c r="B971" s="1683"/>
      <c r="C971" s="2094" t="s">
        <v>837</v>
      </c>
      <c r="D971" s="2059" t="s">
        <v>767</v>
      </c>
      <c r="E971" s="2089">
        <v>1251</v>
      </c>
      <c r="F971" s="2089">
        <f t="shared" si="203"/>
        <v>0</v>
      </c>
      <c r="G971" s="2090">
        <f t="shared" si="189"/>
        <v>0</v>
      </c>
      <c r="H971" s="1635">
        <f t="shared" si="202"/>
        <v>0</v>
      </c>
    </row>
    <row r="972" spans="1:28" ht="18" customHeight="1">
      <c r="A972" s="1666"/>
      <c r="B972" s="1683"/>
      <c r="C972" s="2092" t="s">
        <v>891</v>
      </c>
      <c r="D972" s="2059" t="s">
        <v>774</v>
      </c>
      <c r="E972" s="2089">
        <v>100000</v>
      </c>
      <c r="F972" s="2089">
        <f t="shared" si="203"/>
        <v>200000</v>
      </c>
      <c r="G972" s="2090">
        <f t="shared" si="189"/>
        <v>2</v>
      </c>
      <c r="H972" s="1635">
        <f t="shared" si="202"/>
        <v>200000</v>
      </c>
      <c r="AB972" s="1637">
        <v>200000</v>
      </c>
    </row>
    <row r="973" spans="1:28" ht="18" customHeight="1">
      <c r="A973" s="1666"/>
      <c r="B973" s="1683"/>
      <c r="C973" s="2092" t="s">
        <v>841</v>
      </c>
      <c r="D973" s="2059" t="s">
        <v>774</v>
      </c>
      <c r="E973" s="2089">
        <v>14042</v>
      </c>
      <c r="F973" s="2089">
        <f t="shared" si="203"/>
        <v>10812</v>
      </c>
      <c r="G973" s="2090">
        <f t="shared" si="189"/>
        <v>0.76997578692493951</v>
      </c>
      <c r="H973" s="1635">
        <f t="shared" si="202"/>
        <v>10812</v>
      </c>
      <c r="X973" s="1636">
        <v>10812</v>
      </c>
    </row>
    <row r="974" spans="1:28" ht="18" customHeight="1">
      <c r="A974" s="1666"/>
      <c r="B974" s="1683"/>
      <c r="C974" s="2092" t="s">
        <v>842</v>
      </c>
      <c r="D974" s="2059" t="s">
        <v>774</v>
      </c>
      <c r="E974" s="2089">
        <v>1758</v>
      </c>
      <c r="F974" s="2089">
        <f t="shared" si="203"/>
        <v>1908</v>
      </c>
      <c r="G974" s="2090">
        <f t="shared" ref="G974:G1052" si="204">F974/E974</f>
        <v>1.0853242320819112</v>
      </c>
      <c r="H974" s="1635">
        <f t="shared" si="202"/>
        <v>1908</v>
      </c>
      <c r="X974" s="1636">
        <v>1908</v>
      </c>
    </row>
    <row r="975" spans="1:28" ht="18" hidden="1" customHeight="1">
      <c r="A975" s="1666"/>
      <c r="B975" s="1683"/>
      <c r="C975" s="2092" t="s">
        <v>783</v>
      </c>
      <c r="D975" s="2059" t="s">
        <v>784</v>
      </c>
      <c r="E975" s="2089"/>
      <c r="F975" s="2089">
        <f t="shared" si="203"/>
        <v>0</v>
      </c>
      <c r="G975" s="2090" t="e">
        <f t="shared" si="204"/>
        <v>#DIV/0!</v>
      </c>
      <c r="H975" s="1635">
        <f t="shared" si="202"/>
        <v>0</v>
      </c>
    </row>
    <row r="976" spans="1:28" ht="18" customHeight="1">
      <c r="A976" s="1666"/>
      <c r="B976" s="1683"/>
      <c r="C976" s="2092" t="s">
        <v>892</v>
      </c>
      <c r="D976" s="2059" t="s">
        <v>784</v>
      </c>
      <c r="E976" s="2089">
        <v>12774816</v>
      </c>
      <c r="F976" s="2089">
        <f t="shared" si="203"/>
        <v>12745182</v>
      </c>
      <c r="G976" s="2090">
        <f t="shared" si="204"/>
        <v>0.99768027970031037</v>
      </c>
      <c r="H976" s="1635">
        <f t="shared" si="202"/>
        <v>12745182</v>
      </c>
      <c r="AB976" s="1637">
        <v>12745182</v>
      </c>
    </row>
    <row r="977" spans="1:28" ht="18" customHeight="1">
      <c r="A977" s="1666"/>
      <c r="B977" s="1683"/>
      <c r="C977" s="2092" t="s">
        <v>845</v>
      </c>
      <c r="D977" s="2059" t="s">
        <v>784</v>
      </c>
      <c r="E977" s="2089">
        <v>403366</v>
      </c>
      <c r="F977" s="2089">
        <f t="shared" si="203"/>
        <v>11226</v>
      </c>
      <c r="G977" s="2090">
        <f t="shared" si="204"/>
        <v>2.7830803786139634E-2</v>
      </c>
      <c r="H977" s="1635">
        <f t="shared" si="202"/>
        <v>11226</v>
      </c>
      <c r="X977" s="1636">
        <v>11226</v>
      </c>
    </row>
    <row r="978" spans="1:28" ht="18" customHeight="1">
      <c r="A978" s="1666"/>
      <c r="B978" s="1683"/>
      <c r="C978" s="2092" t="s">
        <v>846</v>
      </c>
      <c r="D978" s="2059" t="s">
        <v>784</v>
      </c>
      <c r="E978" s="2089">
        <v>53675</v>
      </c>
      <c r="F978" s="2089">
        <f t="shared" si="203"/>
        <v>1248</v>
      </c>
      <c r="G978" s="2090">
        <f t="shared" si="204"/>
        <v>2.3251047973917093E-2</v>
      </c>
      <c r="H978" s="1635">
        <f t="shared" si="202"/>
        <v>1248</v>
      </c>
      <c r="X978" s="1636">
        <v>1248</v>
      </c>
    </row>
    <row r="979" spans="1:28" ht="18" customHeight="1">
      <c r="A979" s="1666"/>
      <c r="B979" s="1683"/>
      <c r="C979" s="2092" t="s">
        <v>1004</v>
      </c>
      <c r="D979" s="2059" t="s">
        <v>951</v>
      </c>
      <c r="E979" s="2089">
        <v>150000</v>
      </c>
      <c r="F979" s="2089">
        <f t="shared" si="203"/>
        <v>150000</v>
      </c>
      <c r="G979" s="2090">
        <f t="shared" si="204"/>
        <v>1</v>
      </c>
      <c r="H979" s="1635">
        <f t="shared" si="202"/>
        <v>150000</v>
      </c>
      <c r="AB979" s="1637">
        <v>150000</v>
      </c>
    </row>
    <row r="980" spans="1:28" ht="18" hidden="1" customHeight="1">
      <c r="A980" s="1666"/>
      <c r="B980" s="1683"/>
      <c r="C980" s="2092" t="s">
        <v>952</v>
      </c>
      <c r="D980" s="2059" t="s">
        <v>951</v>
      </c>
      <c r="E980" s="2089">
        <v>6117</v>
      </c>
      <c r="F980" s="2089">
        <f t="shared" si="203"/>
        <v>0</v>
      </c>
      <c r="G980" s="2090">
        <f t="shared" si="204"/>
        <v>0</v>
      </c>
      <c r="H980" s="1635">
        <f t="shared" si="202"/>
        <v>0</v>
      </c>
    </row>
    <row r="981" spans="1:28" ht="18" hidden="1" customHeight="1">
      <c r="A981" s="1666"/>
      <c r="B981" s="1683"/>
      <c r="C981" s="2092" t="s">
        <v>953</v>
      </c>
      <c r="D981" s="2059" t="s">
        <v>951</v>
      </c>
      <c r="E981" s="2089">
        <v>681</v>
      </c>
      <c r="F981" s="2089">
        <f t="shared" si="203"/>
        <v>0</v>
      </c>
      <c r="G981" s="2090">
        <f t="shared" si="204"/>
        <v>0</v>
      </c>
      <c r="H981" s="1635">
        <f t="shared" si="202"/>
        <v>0</v>
      </c>
    </row>
    <row r="982" spans="1:28" ht="18" customHeight="1">
      <c r="A982" s="1666"/>
      <c r="B982" s="1683"/>
      <c r="C982" s="2092" t="s">
        <v>893</v>
      </c>
      <c r="D982" s="1720" t="s">
        <v>788</v>
      </c>
      <c r="E982" s="2089">
        <v>20000</v>
      </c>
      <c r="F982" s="2089">
        <f t="shared" si="203"/>
        <v>500000</v>
      </c>
      <c r="G982" s="2090">
        <f t="shared" si="204"/>
        <v>25</v>
      </c>
      <c r="H982" s="1635">
        <f t="shared" si="202"/>
        <v>500000</v>
      </c>
      <c r="AB982" s="1637">
        <v>500000</v>
      </c>
    </row>
    <row r="983" spans="1:28" ht="18" customHeight="1">
      <c r="A983" s="1666"/>
      <c r="B983" s="1683"/>
      <c r="C983" s="2092" t="s">
        <v>894</v>
      </c>
      <c r="D983" s="2059" t="s">
        <v>792</v>
      </c>
      <c r="E983" s="2089">
        <v>5000</v>
      </c>
      <c r="F983" s="2089">
        <f t="shared" si="203"/>
        <v>5000</v>
      </c>
      <c r="G983" s="2090">
        <f t="shared" si="204"/>
        <v>1</v>
      </c>
      <c r="H983" s="1635">
        <f t="shared" si="202"/>
        <v>5000</v>
      </c>
      <c r="AB983" s="1637">
        <v>5000</v>
      </c>
    </row>
    <row r="984" spans="1:28" ht="16.5" hidden="1" customHeight="1">
      <c r="A984" s="1666"/>
      <c r="B984" s="1683"/>
      <c r="C984" s="2092" t="s">
        <v>849</v>
      </c>
      <c r="D984" s="2059" t="s">
        <v>792</v>
      </c>
      <c r="E984" s="2089">
        <v>425</v>
      </c>
      <c r="F984" s="2089">
        <f t="shared" si="203"/>
        <v>0</v>
      </c>
      <c r="G984" s="2090">
        <f t="shared" si="204"/>
        <v>0</v>
      </c>
      <c r="H984" s="1635">
        <f t="shared" si="202"/>
        <v>0</v>
      </c>
    </row>
    <row r="985" spans="1:28" ht="19.5" hidden="1" customHeight="1">
      <c r="A985" s="1666"/>
      <c r="B985" s="1683"/>
      <c r="C985" s="2092" t="s">
        <v>850</v>
      </c>
      <c r="D985" s="2059" t="s">
        <v>792</v>
      </c>
      <c r="E985" s="2089">
        <v>75</v>
      </c>
      <c r="F985" s="2089">
        <f t="shared" si="203"/>
        <v>0</v>
      </c>
      <c r="G985" s="2090">
        <f t="shared" si="204"/>
        <v>0</v>
      </c>
      <c r="H985" s="1635">
        <f t="shared" si="202"/>
        <v>0</v>
      </c>
    </row>
    <row r="986" spans="1:28" ht="18" hidden="1" customHeight="1">
      <c r="A986" s="1666"/>
      <c r="B986" s="1683"/>
      <c r="C986" s="2092" t="s">
        <v>927</v>
      </c>
      <c r="D986" s="2095" t="s">
        <v>928</v>
      </c>
      <c r="E986" s="2089"/>
      <c r="F986" s="2089">
        <f t="shared" si="203"/>
        <v>0</v>
      </c>
      <c r="G986" s="2090" t="e">
        <f t="shared" si="204"/>
        <v>#DIV/0!</v>
      </c>
      <c r="H986" s="1635">
        <f t="shared" si="202"/>
        <v>0</v>
      </c>
    </row>
    <row r="987" spans="1:28" ht="18" customHeight="1">
      <c r="A987" s="1666"/>
      <c r="B987" s="1683"/>
      <c r="C987" s="2092" t="s">
        <v>1005</v>
      </c>
      <c r="D987" s="2095" t="s">
        <v>928</v>
      </c>
      <c r="E987" s="2089">
        <v>80000</v>
      </c>
      <c r="F987" s="2089">
        <f t="shared" si="203"/>
        <v>80000</v>
      </c>
      <c r="G987" s="2090">
        <f t="shared" si="204"/>
        <v>1</v>
      </c>
      <c r="H987" s="1635">
        <f t="shared" si="202"/>
        <v>80000</v>
      </c>
      <c r="AB987" s="1637">
        <v>80000</v>
      </c>
    </row>
    <row r="988" spans="1:28" ht="18" hidden="1" customHeight="1">
      <c r="A988" s="1666"/>
      <c r="B988" s="1683"/>
      <c r="C988" s="2092" t="s">
        <v>954</v>
      </c>
      <c r="D988" s="2095" t="s">
        <v>928</v>
      </c>
      <c r="E988" s="2089">
        <v>4919</v>
      </c>
      <c r="F988" s="2089">
        <f t="shared" si="203"/>
        <v>0</v>
      </c>
      <c r="G988" s="2090">
        <f t="shared" si="204"/>
        <v>0</v>
      </c>
      <c r="H988" s="1635">
        <f t="shared" si="202"/>
        <v>0</v>
      </c>
    </row>
    <row r="989" spans="1:28" ht="18" hidden="1" customHeight="1">
      <c r="A989" s="1666"/>
      <c r="B989" s="1683"/>
      <c r="C989" s="2092" t="s">
        <v>955</v>
      </c>
      <c r="D989" s="2095" t="s">
        <v>928</v>
      </c>
      <c r="E989" s="2089">
        <v>742</v>
      </c>
      <c r="F989" s="2089">
        <f t="shared" si="203"/>
        <v>0</v>
      </c>
      <c r="G989" s="2090">
        <f t="shared" si="204"/>
        <v>0</v>
      </c>
      <c r="H989" s="1635">
        <f t="shared" si="202"/>
        <v>0</v>
      </c>
    </row>
    <row r="990" spans="1:28" ht="20.25" customHeight="1">
      <c r="A990" s="1666"/>
      <c r="B990" s="1683"/>
      <c r="C990" s="2092" t="s">
        <v>895</v>
      </c>
      <c r="D990" s="2095" t="s">
        <v>1037</v>
      </c>
      <c r="E990" s="2089">
        <v>15000</v>
      </c>
      <c r="F990" s="2089">
        <f t="shared" si="203"/>
        <v>15000</v>
      </c>
      <c r="G990" s="2090">
        <f t="shared" si="204"/>
        <v>1</v>
      </c>
      <c r="H990" s="1635">
        <f t="shared" si="202"/>
        <v>15000</v>
      </c>
      <c r="AB990" s="1637">
        <v>15000</v>
      </c>
    </row>
    <row r="991" spans="1:28" ht="20.25" customHeight="1">
      <c r="A991" s="1666"/>
      <c r="B991" s="1683"/>
      <c r="C991" s="2092" t="s">
        <v>896</v>
      </c>
      <c r="D991" s="2096" t="s">
        <v>769</v>
      </c>
      <c r="E991" s="2089">
        <v>1000</v>
      </c>
      <c r="F991" s="2089">
        <f t="shared" si="203"/>
        <v>1860</v>
      </c>
      <c r="G991" s="2090">
        <f t="shared" si="204"/>
        <v>1.86</v>
      </c>
      <c r="H991" s="1635">
        <f t="shared" si="202"/>
        <v>1860</v>
      </c>
      <c r="AB991" s="1637">
        <v>1860</v>
      </c>
    </row>
    <row r="992" spans="1:28" ht="18" customHeight="1">
      <c r="A992" s="1666"/>
      <c r="B992" s="1683"/>
      <c r="C992" s="2097"/>
      <c r="D992" s="2097"/>
      <c r="E992" s="2089"/>
      <c r="F992" s="2089"/>
      <c r="G992" s="2098"/>
      <c r="H992" s="1635">
        <f t="shared" si="202"/>
        <v>0</v>
      </c>
    </row>
    <row r="993" spans="1:28" ht="17.100000000000001" customHeight="1">
      <c r="A993" s="1666"/>
      <c r="B993" s="1683"/>
      <c r="C993" s="3618" t="s">
        <v>810</v>
      </c>
      <c r="D993" s="3618"/>
      <c r="E993" s="2099">
        <f t="shared" ref="E993:F993" si="205">E994</f>
        <v>506221</v>
      </c>
      <c r="F993" s="2099">
        <f t="shared" si="205"/>
        <v>434769</v>
      </c>
      <c r="G993" s="2100">
        <f t="shared" si="204"/>
        <v>0.85885216140776455</v>
      </c>
      <c r="H993" s="1635">
        <f t="shared" si="202"/>
        <v>0</v>
      </c>
    </row>
    <row r="994" spans="1:28" ht="17.100000000000001" customHeight="1">
      <c r="A994" s="1666"/>
      <c r="B994" s="1683"/>
      <c r="C994" s="3622" t="s">
        <v>811</v>
      </c>
      <c r="D994" s="3623"/>
      <c r="E994" s="2101">
        <f>SUM(E995:E999)</f>
        <v>506221</v>
      </c>
      <c r="F994" s="2101">
        <f t="shared" ref="F994" si="206">SUM(F995:F999)</f>
        <v>434769</v>
      </c>
      <c r="G994" s="2090">
        <f t="shared" si="204"/>
        <v>0.85885216140776455</v>
      </c>
      <c r="H994" s="1635">
        <f t="shared" si="202"/>
        <v>0</v>
      </c>
    </row>
    <row r="995" spans="1:28" ht="17.100000000000001" customHeight="1">
      <c r="A995" s="1666"/>
      <c r="B995" s="1683"/>
      <c r="C995" s="2058" t="s">
        <v>812</v>
      </c>
      <c r="D995" s="2059" t="s">
        <v>861</v>
      </c>
      <c r="E995" s="2101">
        <v>200000</v>
      </c>
      <c r="F995" s="2101">
        <f>H995</f>
        <v>220000</v>
      </c>
      <c r="G995" s="2090">
        <f t="shared" si="204"/>
        <v>1.1000000000000001</v>
      </c>
      <c r="H995" s="1635">
        <f t="shared" si="202"/>
        <v>220000</v>
      </c>
      <c r="AB995" s="1637">
        <v>220000</v>
      </c>
    </row>
    <row r="996" spans="1:28" ht="17.100000000000001" customHeight="1">
      <c r="A996" s="1666"/>
      <c r="B996" s="1678"/>
      <c r="C996" s="2058" t="s">
        <v>897</v>
      </c>
      <c r="D996" s="2059" t="s">
        <v>861</v>
      </c>
      <c r="E996" s="2101">
        <v>306221</v>
      </c>
      <c r="F996" s="2101">
        <f>H996</f>
        <v>214769</v>
      </c>
      <c r="G996" s="2090">
        <f t="shared" si="204"/>
        <v>0.70135294444208596</v>
      </c>
      <c r="H996" s="1635">
        <f t="shared" si="202"/>
        <v>214769</v>
      </c>
      <c r="AB996" s="1637">
        <v>214769</v>
      </c>
    </row>
    <row r="997" spans="1:28" ht="17.100000000000001" hidden="1" customHeight="1">
      <c r="A997" s="1666"/>
      <c r="B997" s="1678"/>
      <c r="C997" s="2058" t="s">
        <v>933</v>
      </c>
      <c r="D997" s="2059" t="s">
        <v>861</v>
      </c>
      <c r="E997" s="2101">
        <v>0</v>
      </c>
      <c r="F997" s="2101">
        <f t="shared" ref="F997:F999" si="207">H997</f>
        <v>0</v>
      </c>
      <c r="G997" s="2090" t="e">
        <f t="shared" si="204"/>
        <v>#DIV/0!</v>
      </c>
      <c r="H997" s="1635">
        <f t="shared" si="202"/>
        <v>0</v>
      </c>
    </row>
    <row r="998" spans="1:28" ht="17.100000000000001" hidden="1" customHeight="1">
      <c r="A998" s="1666"/>
      <c r="B998" s="1678"/>
      <c r="C998" s="2058" t="s">
        <v>918</v>
      </c>
      <c r="D998" s="2059" t="s">
        <v>861</v>
      </c>
      <c r="E998" s="2101">
        <v>0</v>
      </c>
      <c r="F998" s="2101">
        <f t="shared" si="207"/>
        <v>0</v>
      </c>
      <c r="G998" s="2090" t="e">
        <f t="shared" si="204"/>
        <v>#DIV/0!</v>
      </c>
      <c r="H998" s="1635">
        <f t="shared" si="202"/>
        <v>0</v>
      </c>
    </row>
    <row r="999" spans="1:28" ht="27" hidden="1" customHeight="1">
      <c r="A999" s="1666"/>
      <c r="B999" s="1678"/>
      <c r="C999" s="2058" t="s">
        <v>906</v>
      </c>
      <c r="D999" s="2059" t="s">
        <v>1010</v>
      </c>
      <c r="E999" s="2101">
        <v>0</v>
      </c>
      <c r="F999" s="2101">
        <f t="shared" si="207"/>
        <v>0</v>
      </c>
      <c r="G999" s="2090" t="e">
        <f t="shared" si="204"/>
        <v>#DIV/0!</v>
      </c>
      <c r="H999" s="1635">
        <f t="shared" si="202"/>
        <v>0</v>
      </c>
    </row>
    <row r="1000" spans="1:28" ht="17.100000000000001" customHeight="1">
      <c r="A1000" s="1666"/>
      <c r="B1000" s="1678"/>
      <c r="C1000" s="2058"/>
      <c r="D1000" s="2059"/>
      <c r="E1000" s="2101"/>
      <c r="F1000" s="2101"/>
      <c r="G1000" s="2090"/>
      <c r="H1000" s="1635">
        <f t="shared" si="202"/>
        <v>0</v>
      </c>
    </row>
    <row r="1001" spans="1:28" ht="20.25" customHeight="1">
      <c r="A1001" s="1666"/>
      <c r="B1001" s="1678"/>
      <c r="C1001" s="3620" t="s">
        <v>823</v>
      </c>
      <c r="D1001" s="3627"/>
      <c r="E1001" s="2102">
        <f>SUM(E1002:E1005)</f>
        <v>306221</v>
      </c>
      <c r="F1001" s="2102">
        <f t="shared" ref="F1001" si="208">SUM(F1002:F1005)</f>
        <v>214769</v>
      </c>
      <c r="G1001" s="2103">
        <f t="shared" si="204"/>
        <v>0.70135294444208596</v>
      </c>
      <c r="H1001" s="1635">
        <f t="shared" si="202"/>
        <v>0</v>
      </c>
    </row>
    <row r="1002" spans="1:28" ht="17.100000000000001" customHeight="1" thickBot="1">
      <c r="A1002" s="1666"/>
      <c r="B1002" s="1678"/>
      <c r="C1002" s="2065" t="s">
        <v>897</v>
      </c>
      <c r="D1002" s="2064" t="s">
        <v>813</v>
      </c>
      <c r="E1002" s="2051">
        <v>306221</v>
      </c>
      <c r="F1002" s="2051">
        <f>H1002</f>
        <v>214769</v>
      </c>
      <c r="G1002" s="2052">
        <f t="shared" si="204"/>
        <v>0.70135294444208596</v>
      </c>
      <c r="H1002" s="1635">
        <f t="shared" si="202"/>
        <v>214769</v>
      </c>
      <c r="AB1002" s="1637">
        <v>214769</v>
      </c>
    </row>
    <row r="1003" spans="1:28" ht="17.100000000000001" hidden="1" customHeight="1">
      <c r="A1003" s="1666"/>
      <c r="B1003" s="1678"/>
      <c r="C1003" s="2058" t="s">
        <v>933</v>
      </c>
      <c r="D1003" s="2059" t="s">
        <v>861</v>
      </c>
      <c r="E1003" s="2101">
        <v>0</v>
      </c>
      <c r="F1003" s="2104">
        <f t="shared" ref="F1003:F1005" si="209">H1003</f>
        <v>0</v>
      </c>
      <c r="G1003" s="2090" t="e">
        <f t="shared" si="204"/>
        <v>#DIV/0!</v>
      </c>
      <c r="H1003" s="1635">
        <f t="shared" si="202"/>
        <v>0</v>
      </c>
    </row>
    <row r="1004" spans="1:28" ht="17.100000000000001" hidden="1" customHeight="1">
      <c r="A1004" s="1666"/>
      <c r="B1004" s="1678"/>
      <c r="C1004" s="2065" t="s">
        <v>918</v>
      </c>
      <c r="D1004" s="2064" t="s">
        <v>861</v>
      </c>
      <c r="E1004" s="2057">
        <v>0</v>
      </c>
      <c r="F1004" s="2051">
        <f t="shared" si="209"/>
        <v>0</v>
      </c>
      <c r="G1004" s="2052" t="e">
        <f t="shared" si="204"/>
        <v>#DIV/0!</v>
      </c>
      <c r="H1004" s="1635">
        <f t="shared" si="202"/>
        <v>0</v>
      </c>
    </row>
    <row r="1005" spans="1:28" ht="27.75" hidden="1" customHeight="1" thickBot="1">
      <c r="A1005" s="1666"/>
      <c r="B1005" s="1678"/>
      <c r="C1005" s="2105" t="s">
        <v>906</v>
      </c>
      <c r="D1005" s="2106" t="s">
        <v>1010</v>
      </c>
      <c r="E1005" s="2107">
        <v>0</v>
      </c>
      <c r="F1005" s="2051">
        <f t="shared" si="209"/>
        <v>0</v>
      </c>
      <c r="G1005" s="1695" t="e">
        <f t="shared" si="204"/>
        <v>#DIV/0!</v>
      </c>
      <c r="H1005" s="1635">
        <f t="shared" si="202"/>
        <v>0</v>
      </c>
    </row>
    <row r="1006" spans="1:28" ht="17.100000000000001" hidden="1" customHeight="1" thickBot="1">
      <c r="A1006" s="1666"/>
      <c r="B1006" s="1734" t="s">
        <v>1038</v>
      </c>
      <c r="C1006" s="1735"/>
      <c r="D1006" s="1736" t="s">
        <v>1039</v>
      </c>
      <c r="E1006" s="2108">
        <f>E1007+E1018</f>
        <v>0</v>
      </c>
      <c r="F1006" s="2108">
        <f t="shared" ref="F1006" si="210">F1007+F1018</f>
        <v>0</v>
      </c>
      <c r="G1006" s="1881" t="e">
        <f t="shared" si="204"/>
        <v>#DIV/0!</v>
      </c>
      <c r="H1006" s="1635">
        <f t="shared" si="202"/>
        <v>0</v>
      </c>
    </row>
    <row r="1007" spans="1:28" ht="17.100000000000001" hidden="1" customHeight="1">
      <c r="A1007" s="1666"/>
      <c r="B1007" s="3467"/>
      <c r="C1007" s="3472" t="s">
        <v>755</v>
      </c>
      <c r="D1007" s="3472"/>
      <c r="E1007" s="2044">
        <f>E1008</f>
        <v>0</v>
      </c>
      <c r="F1007" s="2044">
        <f t="shared" ref="F1007" si="211">F1008</f>
        <v>0</v>
      </c>
      <c r="G1007" s="1689" t="e">
        <f t="shared" si="204"/>
        <v>#DIV/0!</v>
      </c>
      <c r="H1007" s="1635">
        <f t="shared" si="202"/>
        <v>0</v>
      </c>
    </row>
    <row r="1008" spans="1:28" ht="17.100000000000001" hidden="1" customHeight="1">
      <c r="A1008" s="1666"/>
      <c r="B1008" s="3467"/>
      <c r="C1008" s="3608" t="s">
        <v>756</v>
      </c>
      <c r="D1008" s="3608"/>
      <c r="E1008" s="2057">
        <f>E1009+E1012</f>
        <v>0</v>
      </c>
      <c r="F1008" s="2057">
        <f t="shared" ref="F1008" si="212">F1009+F1012</f>
        <v>0</v>
      </c>
      <c r="G1008" s="2052" t="e">
        <f t="shared" si="204"/>
        <v>#DIV/0!</v>
      </c>
      <c r="H1008" s="1635">
        <f t="shared" si="202"/>
        <v>0</v>
      </c>
    </row>
    <row r="1009" spans="1:8" ht="17.100000000000001" hidden="1" customHeight="1">
      <c r="A1009" s="1666"/>
      <c r="B1009" s="3467"/>
      <c r="C1009" s="3612" t="s">
        <v>757</v>
      </c>
      <c r="D1009" s="3612"/>
      <c r="E1009" s="2057">
        <f>E1010</f>
        <v>0</v>
      </c>
      <c r="F1009" s="2057">
        <f t="shared" ref="F1009" si="213">F1010</f>
        <v>0</v>
      </c>
      <c r="G1009" s="2052" t="e">
        <f t="shared" si="204"/>
        <v>#DIV/0!</v>
      </c>
      <c r="H1009" s="1635">
        <f t="shared" si="202"/>
        <v>0</v>
      </c>
    </row>
    <row r="1010" spans="1:8" ht="17.100000000000001" hidden="1" customHeight="1">
      <c r="A1010" s="1666"/>
      <c r="B1010" s="3467"/>
      <c r="C1010" s="2058" t="s">
        <v>766</v>
      </c>
      <c r="D1010" s="2059" t="s">
        <v>767</v>
      </c>
      <c r="E1010" s="2057">
        <v>0</v>
      </c>
      <c r="F1010" s="2057">
        <f>H1010</f>
        <v>0</v>
      </c>
      <c r="G1010" s="2052" t="e">
        <f t="shared" si="204"/>
        <v>#DIV/0!</v>
      </c>
      <c r="H1010" s="1635">
        <f t="shared" si="202"/>
        <v>0</v>
      </c>
    </row>
    <row r="1011" spans="1:8" ht="17.100000000000001" hidden="1" customHeight="1">
      <c r="A1011" s="1666"/>
      <c r="B1011" s="3467"/>
      <c r="C1011" s="2088"/>
      <c r="D1011" s="2088"/>
      <c r="E1011" s="2101"/>
      <c r="F1011" s="2101"/>
      <c r="G1011" s="2090"/>
      <c r="H1011" s="1635">
        <f t="shared" si="202"/>
        <v>0</v>
      </c>
    </row>
    <row r="1012" spans="1:8" ht="17.100000000000001" hidden="1" customHeight="1">
      <c r="A1012" s="1666"/>
      <c r="B1012" s="3467"/>
      <c r="C1012" s="3620" t="s">
        <v>770</v>
      </c>
      <c r="D1012" s="3620"/>
      <c r="E1012" s="2057">
        <f>SUM(E1013:E1016)</f>
        <v>0</v>
      </c>
      <c r="F1012" s="2057">
        <f>SUM(F1013:F1016)</f>
        <v>0</v>
      </c>
      <c r="G1012" s="2052" t="e">
        <f t="shared" si="204"/>
        <v>#DIV/0!</v>
      </c>
      <c r="H1012" s="1635">
        <f t="shared" si="202"/>
        <v>0</v>
      </c>
    </row>
    <row r="1013" spans="1:8" ht="17.100000000000001" hidden="1" customHeight="1">
      <c r="A1013" s="1666"/>
      <c r="B1013" s="3467"/>
      <c r="C1013" s="2058" t="s">
        <v>773</v>
      </c>
      <c r="D1013" s="2059" t="s">
        <v>774</v>
      </c>
      <c r="E1013" s="2057">
        <v>0</v>
      </c>
      <c r="F1013" s="2057">
        <f>H1013</f>
        <v>0</v>
      </c>
      <c r="G1013" s="2052" t="e">
        <f t="shared" si="204"/>
        <v>#DIV/0!</v>
      </c>
      <c r="H1013" s="1635">
        <f t="shared" si="202"/>
        <v>0</v>
      </c>
    </row>
    <row r="1014" spans="1:8" ht="17.100000000000001" hidden="1" customHeight="1">
      <c r="A1014" s="1666"/>
      <c r="B1014" s="3467"/>
      <c r="C1014" s="2058" t="s">
        <v>783</v>
      </c>
      <c r="D1014" s="2059" t="s">
        <v>784</v>
      </c>
      <c r="E1014" s="2057">
        <v>0</v>
      </c>
      <c r="F1014" s="2057">
        <f t="shared" ref="F1014:F1016" si="214">H1014</f>
        <v>0</v>
      </c>
      <c r="G1014" s="2052" t="e">
        <f t="shared" si="204"/>
        <v>#DIV/0!</v>
      </c>
      <c r="H1014" s="1635">
        <f t="shared" si="202"/>
        <v>0</v>
      </c>
    </row>
    <row r="1015" spans="1:8" ht="17.100000000000001" hidden="1" customHeight="1">
      <c r="A1015" s="1666"/>
      <c r="B1015" s="3467"/>
      <c r="C1015" s="2065" t="s">
        <v>793</v>
      </c>
      <c r="D1015" s="2064" t="s">
        <v>794</v>
      </c>
      <c r="E1015" s="2057">
        <v>0</v>
      </c>
      <c r="F1015" s="2057">
        <f t="shared" si="214"/>
        <v>0</v>
      </c>
      <c r="G1015" s="2052" t="e">
        <f t="shared" si="204"/>
        <v>#DIV/0!</v>
      </c>
      <c r="H1015" s="1635">
        <f t="shared" si="202"/>
        <v>0</v>
      </c>
    </row>
    <row r="1016" spans="1:8" ht="17.100000000000001" hidden="1" customHeight="1">
      <c r="A1016" s="1666"/>
      <c r="B1016" s="3467"/>
      <c r="C1016" s="1778" t="s">
        <v>1040</v>
      </c>
      <c r="D1016" s="2109" t="s">
        <v>1041</v>
      </c>
      <c r="E1016" s="2057">
        <v>0</v>
      </c>
      <c r="F1016" s="2057">
        <f t="shared" si="214"/>
        <v>0</v>
      </c>
      <c r="G1016" s="2052" t="e">
        <f t="shared" si="204"/>
        <v>#DIV/0!</v>
      </c>
      <c r="H1016" s="1635">
        <f t="shared" si="202"/>
        <v>0</v>
      </c>
    </row>
    <row r="1017" spans="1:8" ht="17.100000000000001" hidden="1" customHeight="1">
      <c r="A1017" s="1666"/>
      <c r="B1017" s="1698"/>
      <c r="C1017" s="1960"/>
      <c r="D1017" s="1961"/>
      <c r="E1017" s="2057"/>
      <c r="F1017" s="2057"/>
      <c r="G1017" s="2052"/>
      <c r="H1017" s="1635">
        <f t="shared" si="202"/>
        <v>0</v>
      </c>
    </row>
    <row r="1018" spans="1:8" ht="17.100000000000001" hidden="1" customHeight="1">
      <c r="A1018" s="1666"/>
      <c r="B1018" s="1698"/>
      <c r="C1018" s="3618" t="s">
        <v>810</v>
      </c>
      <c r="D1018" s="3618"/>
      <c r="E1018" s="2101">
        <f>E1019</f>
        <v>0</v>
      </c>
      <c r="F1018" s="2101">
        <f t="shared" ref="F1018:F1019" si="215">F1019</f>
        <v>0</v>
      </c>
      <c r="G1018" s="2090" t="e">
        <f t="shared" si="204"/>
        <v>#DIV/0!</v>
      </c>
      <c r="H1018" s="1635">
        <f t="shared" si="202"/>
        <v>0</v>
      </c>
    </row>
    <row r="1019" spans="1:8" ht="17.100000000000001" hidden="1" customHeight="1">
      <c r="A1019" s="1666"/>
      <c r="B1019" s="1698"/>
      <c r="C1019" s="3622" t="s">
        <v>811</v>
      </c>
      <c r="D1019" s="3623"/>
      <c r="E1019" s="2110">
        <f>E1020</f>
        <v>0</v>
      </c>
      <c r="F1019" s="2110">
        <f t="shared" si="215"/>
        <v>0</v>
      </c>
      <c r="G1019" s="2111" t="e">
        <f t="shared" si="204"/>
        <v>#DIV/0!</v>
      </c>
      <c r="H1019" s="1635">
        <f t="shared" ref="H1019:H1092" si="216">SUM(I1019:AE1019)</f>
        <v>0</v>
      </c>
    </row>
    <row r="1020" spans="1:8" ht="17.100000000000001" hidden="1" customHeight="1" thickBot="1">
      <c r="A1020" s="1666"/>
      <c r="B1020" s="1698"/>
      <c r="C1020" s="2112" t="s">
        <v>812</v>
      </c>
      <c r="D1020" s="2113" t="s">
        <v>861</v>
      </c>
      <c r="E1020" s="2107">
        <v>0</v>
      </c>
      <c r="F1020" s="2107">
        <f>H1020</f>
        <v>0</v>
      </c>
      <c r="G1020" s="1695" t="e">
        <f t="shared" si="204"/>
        <v>#DIV/0!</v>
      </c>
      <c r="H1020" s="1635">
        <f t="shared" si="216"/>
        <v>0</v>
      </c>
    </row>
    <row r="1021" spans="1:8" ht="15" customHeight="1" thickBot="1">
      <c r="A1021" s="1666"/>
      <c r="B1021" s="1734" t="s">
        <v>43</v>
      </c>
      <c r="C1021" s="1735"/>
      <c r="D1021" s="1736" t="s">
        <v>23</v>
      </c>
      <c r="E1021" s="2114">
        <f>E1022</f>
        <v>216000</v>
      </c>
      <c r="F1021" s="2114">
        <f t="shared" ref="F1021" si="217">F1022</f>
        <v>225000</v>
      </c>
      <c r="G1021" s="1738">
        <f t="shared" si="204"/>
        <v>1.0416666666666667</v>
      </c>
      <c r="H1021" s="1635">
        <f t="shared" si="216"/>
        <v>0</v>
      </c>
    </row>
    <row r="1022" spans="1:8" ht="15.75" customHeight="1">
      <c r="A1022" s="1666"/>
      <c r="B1022" s="3055"/>
      <c r="C1022" s="3487" t="s">
        <v>755</v>
      </c>
      <c r="D1022" s="3487"/>
      <c r="E1022" s="2115">
        <f>SUM(E1023+E1038)</f>
        <v>216000</v>
      </c>
      <c r="F1022" s="2115">
        <f>SUM(F1023+F1038)</f>
        <v>225000</v>
      </c>
      <c r="G1022" s="1816">
        <f t="shared" si="204"/>
        <v>1.0416666666666667</v>
      </c>
      <c r="H1022" s="1635">
        <f t="shared" si="216"/>
        <v>0</v>
      </c>
    </row>
    <row r="1023" spans="1:8" ht="16.5" customHeight="1">
      <c r="A1023" s="1666"/>
      <c r="B1023" s="1745"/>
      <c r="C1023" s="3624" t="s">
        <v>756</v>
      </c>
      <c r="D1023" s="3624"/>
      <c r="E1023" s="2116">
        <f t="shared" ref="E1023:F1023" si="218">SUM(E1024,E1030)</f>
        <v>213000</v>
      </c>
      <c r="F1023" s="2116">
        <f t="shared" si="218"/>
        <v>218000</v>
      </c>
      <c r="G1023" s="2117">
        <f t="shared" si="204"/>
        <v>1.0234741784037558</v>
      </c>
      <c r="H1023" s="1635">
        <f t="shared" si="216"/>
        <v>0</v>
      </c>
    </row>
    <row r="1024" spans="1:8" ht="16.5" customHeight="1">
      <c r="A1024" s="1666"/>
      <c r="B1024" s="1745"/>
      <c r="C1024" s="3625" t="s">
        <v>757</v>
      </c>
      <c r="D1024" s="3625"/>
      <c r="E1024" s="2118">
        <f t="shared" ref="E1024:F1024" si="219">SUM(E1025:E1028)</f>
        <v>159000</v>
      </c>
      <c r="F1024" s="2118">
        <f t="shared" si="219"/>
        <v>160000</v>
      </c>
      <c r="G1024" s="2119">
        <f t="shared" si="204"/>
        <v>1.0062893081761006</v>
      </c>
      <c r="H1024" s="1635">
        <f t="shared" si="216"/>
        <v>0</v>
      </c>
    </row>
    <row r="1025" spans="1:26" ht="16.5" customHeight="1">
      <c r="A1025" s="1666"/>
      <c r="B1025" s="1745"/>
      <c r="C1025" s="1719" t="s">
        <v>758</v>
      </c>
      <c r="D1025" s="2113" t="s">
        <v>759</v>
      </c>
      <c r="E1025" s="2120">
        <v>132063</v>
      </c>
      <c r="F1025" s="2120">
        <f>H1025</f>
        <v>132063</v>
      </c>
      <c r="G1025" s="2117">
        <f t="shared" si="204"/>
        <v>1</v>
      </c>
      <c r="H1025" s="1635">
        <f t="shared" si="216"/>
        <v>132063</v>
      </c>
      <c r="Z1025" s="1637">
        <v>132063</v>
      </c>
    </row>
    <row r="1026" spans="1:26" ht="18" customHeight="1">
      <c r="A1026" s="1666"/>
      <c r="B1026" s="1745"/>
      <c r="C1026" s="2112" t="s">
        <v>762</v>
      </c>
      <c r="D1026" s="2113" t="s">
        <v>763</v>
      </c>
      <c r="E1026" s="2120">
        <v>22701</v>
      </c>
      <c r="F1026" s="2120">
        <f t="shared" ref="F1026:F1028" si="220">H1026</f>
        <v>22701</v>
      </c>
      <c r="G1026" s="2117">
        <f t="shared" si="204"/>
        <v>1</v>
      </c>
      <c r="H1026" s="1635">
        <f t="shared" si="216"/>
        <v>22701</v>
      </c>
      <c r="Z1026" s="1637">
        <v>22701</v>
      </c>
    </row>
    <row r="1027" spans="1:26" ht="17.25" customHeight="1">
      <c r="A1027" s="1666"/>
      <c r="B1027" s="1745"/>
      <c r="C1027" s="2112" t="s">
        <v>764</v>
      </c>
      <c r="D1027" s="2113" t="s">
        <v>1440</v>
      </c>
      <c r="E1027" s="2120">
        <v>3236</v>
      </c>
      <c r="F1027" s="2120">
        <f t="shared" si="220"/>
        <v>3236</v>
      </c>
      <c r="G1027" s="2117">
        <f t="shared" si="204"/>
        <v>1</v>
      </c>
      <c r="H1027" s="1635">
        <f t="shared" si="216"/>
        <v>3236</v>
      </c>
      <c r="Z1027" s="1637">
        <v>3236</v>
      </c>
    </row>
    <row r="1028" spans="1:26" ht="17.25" customHeight="1">
      <c r="A1028" s="1666"/>
      <c r="B1028" s="1745"/>
      <c r="C1028" s="2112" t="s">
        <v>766</v>
      </c>
      <c r="D1028" s="2113" t="s">
        <v>767</v>
      </c>
      <c r="E1028" s="2120">
        <v>1000</v>
      </c>
      <c r="F1028" s="2120">
        <f t="shared" si="220"/>
        <v>2000</v>
      </c>
      <c r="G1028" s="2117">
        <f t="shared" si="204"/>
        <v>2</v>
      </c>
      <c r="H1028" s="1635">
        <f t="shared" si="216"/>
        <v>2000</v>
      </c>
      <c r="Z1028" s="1637">
        <v>2000</v>
      </c>
    </row>
    <row r="1029" spans="1:26" ht="13.5" thickBot="1">
      <c r="A1029" s="1792"/>
      <c r="B1029" s="3058"/>
      <c r="C1029" s="3197"/>
      <c r="D1029" s="3197"/>
      <c r="E1029" s="3084"/>
      <c r="F1029" s="3084"/>
      <c r="G1029" s="2117"/>
      <c r="H1029" s="1635">
        <f t="shared" si="216"/>
        <v>0</v>
      </c>
    </row>
    <row r="1030" spans="1:26" ht="16.5" customHeight="1">
      <c r="A1030" s="1666"/>
      <c r="B1030" s="1745"/>
      <c r="C1030" s="3626" t="s">
        <v>770</v>
      </c>
      <c r="D1030" s="3626"/>
      <c r="E1030" s="3196">
        <f>SUM(E1031:E1036)</f>
        <v>54000</v>
      </c>
      <c r="F1030" s="3196">
        <f>SUM(F1031:F1036)</f>
        <v>58000</v>
      </c>
      <c r="G1030" s="2119">
        <f t="shared" si="204"/>
        <v>1.0740740740740742</v>
      </c>
      <c r="H1030" s="1635">
        <f t="shared" si="216"/>
        <v>0</v>
      </c>
    </row>
    <row r="1031" spans="1:26" ht="17.25" customHeight="1">
      <c r="A1031" s="1666"/>
      <c r="B1031" s="1745"/>
      <c r="C1031" s="2112" t="s">
        <v>773</v>
      </c>
      <c r="D1031" s="2113" t="s">
        <v>774</v>
      </c>
      <c r="E1031" s="2116">
        <v>27000</v>
      </c>
      <c r="F1031" s="2116">
        <f>H1031</f>
        <v>27000</v>
      </c>
      <c r="G1031" s="2117">
        <f t="shared" si="204"/>
        <v>1</v>
      </c>
      <c r="H1031" s="1635">
        <f t="shared" si="216"/>
        <v>27000</v>
      </c>
      <c r="Z1031" s="1637">
        <v>27000</v>
      </c>
    </row>
    <row r="1032" spans="1:26" ht="17.25" customHeight="1">
      <c r="A1032" s="1666"/>
      <c r="B1032" s="1745"/>
      <c r="C1032" s="2112" t="s">
        <v>775</v>
      </c>
      <c r="D1032" s="2113" t="s">
        <v>776</v>
      </c>
      <c r="E1032" s="2116">
        <v>1000</v>
      </c>
      <c r="F1032" s="2116">
        <f t="shared" ref="F1032:F1036" si="221">H1032</f>
        <v>1000</v>
      </c>
      <c r="G1032" s="2117">
        <f t="shared" si="204"/>
        <v>1</v>
      </c>
      <c r="H1032" s="1635">
        <f t="shared" si="216"/>
        <v>1000</v>
      </c>
      <c r="Z1032" s="1637">
        <v>1000</v>
      </c>
    </row>
    <row r="1033" spans="1:26" ht="16.5" customHeight="1">
      <c r="A1033" s="3182"/>
      <c r="B1033" s="1745"/>
      <c r="C1033" s="3099" t="s">
        <v>783</v>
      </c>
      <c r="D1033" s="3100" t="s">
        <v>784</v>
      </c>
      <c r="E1033" s="3198">
        <v>20000</v>
      </c>
      <c r="F1033" s="3198">
        <f t="shared" si="221"/>
        <v>24000</v>
      </c>
      <c r="G1033" s="2117">
        <f t="shared" si="204"/>
        <v>1.2</v>
      </c>
      <c r="H1033" s="1635">
        <f t="shared" si="216"/>
        <v>24000</v>
      </c>
      <c r="Z1033" s="1637">
        <v>24000</v>
      </c>
    </row>
    <row r="1034" spans="1:26" ht="16.5" customHeight="1">
      <c r="A1034" s="1666"/>
      <c r="B1034" s="1745"/>
      <c r="C1034" s="1706" t="s">
        <v>787</v>
      </c>
      <c r="D1034" s="1707" t="s">
        <v>788</v>
      </c>
      <c r="E1034" s="3083">
        <v>2000</v>
      </c>
      <c r="F1034" s="3083">
        <f t="shared" si="221"/>
        <v>2000</v>
      </c>
      <c r="G1034" s="2123">
        <f t="shared" si="204"/>
        <v>1</v>
      </c>
      <c r="H1034" s="1635">
        <f t="shared" si="216"/>
        <v>2000</v>
      </c>
      <c r="Z1034" s="1637">
        <v>2000</v>
      </c>
    </row>
    <row r="1035" spans="1:26" ht="16.5" customHeight="1">
      <c r="A1035" s="1666"/>
      <c r="B1035" s="1745"/>
      <c r="C1035" s="2124" t="s">
        <v>791</v>
      </c>
      <c r="D1035" s="2125" t="s">
        <v>792</v>
      </c>
      <c r="E1035" s="2126">
        <v>2000</v>
      </c>
      <c r="F1035" s="2126">
        <f t="shared" si="221"/>
        <v>2000</v>
      </c>
      <c r="G1035" s="2127">
        <f t="shared" si="204"/>
        <v>1</v>
      </c>
      <c r="H1035" s="1635">
        <f t="shared" si="216"/>
        <v>2000</v>
      </c>
      <c r="Z1035" s="1637">
        <v>2000</v>
      </c>
    </row>
    <row r="1036" spans="1:26" ht="18.75" customHeight="1">
      <c r="A1036" s="1666"/>
      <c r="B1036" s="1745"/>
      <c r="C1036" s="2128" t="s">
        <v>805</v>
      </c>
      <c r="D1036" s="2129" t="s">
        <v>1037</v>
      </c>
      <c r="E1036" s="2126">
        <v>2000</v>
      </c>
      <c r="F1036" s="2126">
        <f t="shared" si="221"/>
        <v>2000</v>
      </c>
      <c r="G1036" s="2130">
        <f t="shared" si="204"/>
        <v>1</v>
      </c>
      <c r="H1036" s="1635">
        <f t="shared" si="216"/>
        <v>2000</v>
      </c>
      <c r="Z1036" s="1637">
        <v>2000</v>
      </c>
    </row>
    <row r="1037" spans="1:26" ht="12.75" customHeight="1">
      <c r="A1037" s="1666"/>
      <c r="B1037" s="1698"/>
      <c r="C1037" s="1960"/>
      <c r="D1037" s="1961"/>
      <c r="E1037" s="2126"/>
      <c r="F1037" s="2126"/>
      <c r="G1037" s="2130"/>
      <c r="H1037" s="1635">
        <f t="shared" si="216"/>
        <v>0</v>
      </c>
    </row>
    <row r="1038" spans="1:26" ht="14.25" customHeight="1">
      <c r="A1038" s="1666"/>
      <c r="B1038" s="1698"/>
      <c r="C1038" s="3636" t="s">
        <v>1042</v>
      </c>
      <c r="D1038" s="3637"/>
      <c r="E1038" s="2038">
        <f>E1039</f>
        <v>3000</v>
      </c>
      <c r="F1038" s="2038">
        <f>F1039</f>
        <v>7000</v>
      </c>
      <c r="G1038" s="2130">
        <f t="shared" si="204"/>
        <v>2.3333333333333335</v>
      </c>
      <c r="H1038" s="1635">
        <f t="shared" si="216"/>
        <v>0</v>
      </c>
    </row>
    <row r="1039" spans="1:26" ht="18.75" customHeight="1" thickBot="1">
      <c r="A1039" s="1666"/>
      <c r="B1039" s="1698"/>
      <c r="C1039" s="2128" t="s">
        <v>1014</v>
      </c>
      <c r="D1039" s="2131" t="s">
        <v>1021</v>
      </c>
      <c r="E1039" s="2038">
        <v>3000</v>
      </c>
      <c r="F1039" s="2038">
        <f>H1039</f>
        <v>7000</v>
      </c>
      <c r="G1039" s="2130">
        <f t="shared" si="204"/>
        <v>2.3333333333333335</v>
      </c>
      <c r="H1039" s="1635">
        <f t="shared" si="216"/>
        <v>7000</v>
      </c>
      <c r="Z1039" s="1637">
        <v>7000</v>
      </c>
    </row>
    <row r="1040" spans="1:26" ht="17.100000000000001" customHeight="1" thickBot="1">
      <c r="A1040" s="3519"/>
      <c r="B1040" s="2132" t="s">
        <v>1043</v>
      </c>
      <c r="C1040" s="2133"/>
      <c r="D1040" s="2134" t="s">
        <v>11</v>
      </c>
      <c r="E1040" s="1737">
        <f>E1041+E1136</f>
        <v>34377105</v>
      </c>
      <c r="F1040" s="1737">
        <f>F1041+F1136</f>
        <v>41712784</v>
      </c>
      <c r="G1040" s="1738">
        <f t="shared" si="204"/>
        <v>1.2133885037730781</v>
      </c>
      <c r="H1040" s="1635">
        <f t="shared" si="216"/>
        <v>0</v>
      </c>
    </row>
    <row r="1041" spans="1:26" ht="17.100000000000001" customHeight="1">
      <c r="A1041" s="3519"/>
      <c r="B1041" s="3085"/>
      <c r="C1041" s="3472" t="s">
        <v>755</v>
      </c>
      <c r="D1041" s="3472"/>
      <c r="E1041" s="1805">
        <f>E1042+E1065+E1072+E1069</f>
        <v>15577498</v>
      </c>
      <c r="F1041" s="2115">
        <f>F1042+F1065+F1072+F1069</f>
        <v>12553376</v>
      </c>
      <c r="G1041" s="1673">
        <f t="shared" si="204"/>
        <v>0.80586599979021023</v>
      </c>
      <c r="H1041" s="1635">
        <f t="shared" si="216"/>
        <v>0</v>
      </c>
    </row>
    <row r="1042" spans="1:26" ht="17.100000000000001" customHeight="1">
      <c r="A1042" s="1666"/>
      <c r="B1042" s="3041"/>
      <c r="C1042" s="3624" t="s">
        <v>756</v>
      </c>
      <c r="D1042" s="3624"/>
      <c r="E1042" s="1904">
        <f>E1043+E1051</f>
        <v>8264031</v>
      </c>
      <c r="F1042" s="2038">
        <f>F1043+F1051</f>
        <v>8253450</v>
      </c>
      <c r="G1042" s="1905">
        <f t="shared" si="204"/>
        <v>0.99871963210205772</v>
      </c>
      <c r="H1042" s="1635">
        <f t="shared" si="216"/>
        <v>0</v>
      </c>
    </row>
    <row r="1043" spans="1:26" ht="17.100000000000001" customHeight="1">
      <c r="A1043" s="1666"/>
      <c r="B1043" s="3041"/>
      <c r="C1043" s="3625" t="s">
        <v>757</v>
      </c>
      <c r="D1043" s="3625"/>
      <c r="E1043" s="2038">
        <f>SUM(E1044:E1049)</f>
        <v>80000</v>
      </c>
      <c r="F1043" s="2038">
        <f>SUM(F1044:F1049)</f>
        <v>284500</v>
      </c>
      <c r="G1043" s="1907">
        <f t="shared" si="204"/>
        <v>3.5562499999999999</v>
      </c>
      <c r="H1043" s="1635">
        <f t="shared" si="216"/>
        <v>0</v>
      </c>
    </row>
    <row r="1044" spans="1:26" ht="17.100000000000001" customHeight="1">
      <c r="A1044" s="1666"/>
      <c r="B1044" s="3041"/>
      <c r="C1044" s="2112" t="s">
        <v>758</v>
      </c>
      <c r="D1044" s="2113" t="s">
        <v>759</v>
      </c>
      <c r="E1044" s="1906">
        <v>0</v>
      </c>
      <c r="F1044" s="2038">
        <f>H1044</f>
        <v>150000</v>
      </c>
      <c r="G1044" s="1907"/>
      <c r="H1044" s="1635">
        <f t="shared" si="216"/>
        <v>150000</v>
      </c>
      <c r="U1044" s="1636">
        <v>150000</v>
      </c>
    </row>
    <row r="1045" spans="1:26" ht="17.100000000000001" customHeight="1">
      <c r="A1045" s="1666"/>
      <c r="B1045" s="3041"/>
      <c r="C1045" s="2112" t="s">
        <v>760</v>
      </c>
      <c r="D1045" s="2113" t="s">
        <v>761</v>
      </c>
      <c r="E1045" s="2118">
        <v>0</v>
      </c>
      <c r="F1045" s="2038">
        <f t="shared" ref="F1045:F1049" si="222">H1045</f>
        <v>20000</v>
      </c>
      <c r="G1045" s="2119"/>
      <c r="H1045" s="1635">
        <f t="shared" si="216"/>
        <v>20000</v>
      </c>
      <c r="U1045" s="1636">
        <v>20000</v>
      </c>
    </row>
    <row r="1046" spans="1:26" ht="17.100000000000001" customHeight="1">
      <c r="A1046" s="1666"/>
      <c r="B1046" s="3041"/>
      <c r="C1046" s="2112" t="s">
        <v>762</v>
      </c>
      <c r="D1046" s="2113" t="s">
        <v>763</v>
      </c>
      <c r="E1046" s="2118">
        <v>0</v>
      </c>
      <c r="F1046" s="2038">
        <f t="shared" si="222"/>
        <v>26000</v>
      </c>
      <c r="G1046" s="2119"/>
      <c r="H1046" s="1635">
        <f t="shared" si="216"/>
        <v>26000</v>
      </c>
      <c r="U1046" s="1636">
        <v>26000</v>
      </c>
    </row>
    <row r="1047" spans="1:26" ht="17.100000000000001" customHeight="1">
      <c r="A1047" s="1666"/>
      <c r="B1047" s="3041"/>
      <c r="C1047" s="2112" t="s">
        <v>764</v>
      </c>
      <c r="D1047" s="2113" t="s">
        <v>1440</v>
      </c>
      <c r="E1047" s="2118">
        <v>0</v>
      </c>
      <c r="F1047" s="2038">
        <f t="shared" si="222"/>
        <v>4000</v>
      </c>
      <c r="G1047" s="2119"/>
      <c r="H1047" s="1635">
        <f t="shared" si="216"/>
        <v>4000</v>
      </c>
      <c r="U1047" s="1636">
        <v>4000</v>
      </c>
    </row>
    <row r="1048" spans="1:26" ht="17.100000000000001" customHeight="1">
      <c r="A1048" s="1666"/>
      <c r="B1048" s="3041"/>
      <c r="C1048" s="2112" t="s">
        <v>766</v>
      </c>
      <c r="D1048" s="2113" t="s">
        <v>767</v>
      </c>
      <c r="E1048" s="1904">
        <v>80000</v>
      </c>
      <c r="F1048" s="2038">
        <f t="shared" si="222"/>
        <v>84000</v>
      </c>
      <c r="G1048" s="1905">
        <f t="shared" si="204"/>
        <v>1.05</v>
      </c>
      <c r="H1048" s="1635">
        <f t="shared" si="216"/>
        <v>84000</v>
      </c>
      <c r="V1048" s="1636">
        <v>84000</v>
      </c>
    </row>
    <row r="1049" spans="1:26" ht="17.100000000000001" customHeight="1">
      <c r="A1049" s="1666"/>
      <c r="B1049" s="3041"/>
      <c r="C1049" s="2112" t="s">
        <v>768</v>
      </c>
      <c r="D1049" s="2113" t="s">
        <v>769</v>
      </c>
      <c r="E1049" s="1904">
        <v>0</v>
      </c>
      <c r="F1049" s="2038">
        <f t="shared" si="222"/>
        <v>500</v>
      </c>
      <c r="G1049" s="1907"/>
      <c r="H1049" s="1635">
        <f t="shared" si="216"/>
        <v>500</v>
      </c>
      <c r="U1049" s="1636">
        <v>500</v>
      </c>
    </row>
    <row r="1050" spans="1:26" ht="17.100000000000001" customHeight="1">
      <c r="A1050" s="1666"/>
      <c r="B1050" s="3041"/>
      <c r="C1050" s="1699"/>
      <c r="D1050" s="1699"/>
      <c r="E1050" s="1683"/>
      <c r="F1050" s="2038"/>
      <c r="G1050" s="1684"/>
      <c r="H1050" s="1635">
        <f t="shared" si="216"/>
        <v>0</v>
      </c>
    </row>
    <row r="1051" spans="1:26" ht="17.100000000000001" customHeight="1">
      <c r="A1051" s="1666"/>
      <c r="B1051" s="3041"/>
      <c r="C1051" s="3638" t="s">
        <v>770</v>
      </c>
      <c r="D1051" s="3638"/>
      <c r="E1051" s="2135">
        <f>SUM(E1052:E1063)</f>
        <v>8184031</v>
      </c>
      <c r="F1051" s="2136">
        <f>SUM(F1052:F1063)</f>
        <v>7968950</v>
      </c>
      <c r="G1051" s="2137">
        <f t="shared" si="204"/>
        <v>0.97371942994839589</v>
      </c>
      <c r="H1051" s="1635">
        <f t="shared" si="216"/>
        <v>0</v>
      </c>
    </row>
    <row r="1052" spans="1:26" ht="17.100000000000001" customHeight="1">
      <c r="A1052" s="1666"/>
      <c r="B1052" s="3041"/>
      <c r="C1052" s="2112" t="s">
        <v>773</v>
      </c>
      <c r="D1052" s="2113" t="s">
        <v>774</v>
      </c>
      <c r="E1052" s="1904">
        <f>300+8000+160000</f>
        <v>168300</v>
      </c>
      <c r="F1052" s="2039">
        <f>H1052</f>
        <v>95000</v>
      </c>
      <c r="G1052" s="1905">
        <f t="shared" si="204"/>
        <v>0.56446821152703508</v>
      </c>
      <c r="H1052" s="1635">
        <f t="shared" si="216"/>
        <v>95000</v>
      </c>
      <c r="U1052" s="1636">
        <v>20000</v>
      </c>
      <c r="V1052" s="1636">
        <v>65000</v>
      </c>
      <c r="Z1052" s="1637">
        <v>10000</v>
      </c>
    </row>
    <row r="1053" spans="1:26" ht="17.100000000000001" customHeight="1">
      <c r="A1053" s="1666"/>
      <c r="B1053" s="3041"/>
      <c r="C1053" s="2112" t="s">
        <v>775</v>
      </c>
      <c r="D1053" s="2113" t="s">
        <v>776</v>
      </c>
      <c r="E1053" s="1904">
        <v>0</v>
      </c>
      <c r="F1053" s="2039">
        <f>H1053</f>
        <v>1500</v>
      </c>
      <c r="G1053" s="1905"/>
      <c r="H1053" s="1635">
        <f t="shared" si="216"/>
        <v>1500</v>
      </c>
      <c r="U1053" s="1636">
        <v>1500</v>
      </c>
    </row>
    <row r="1054" spans="1:26" ht="17.100000000000001" customHeight="1">
      <c r="A1054" s="1666"/>
      <c r="B1054" s="3041"/>
      <c r="C1054" s="2112" t="s">
        <v>783</v>
      </c>
      <c r="D1054" s="2113" t="s">
        <v>784</v>
      </c>
      <c r="E1054" s="1904">
        <f>4700+18000+3073605+3732000+1000+250000</f>
        <v>7079305</v>
      </c>
      <c r="F1054" s="2039">
        <f t="shared" ref="F1054:F1063" si="223">H1054</f>
        <v>6900969</v>
      </c>
      <c r="G1054" s="1905">
        <f t="shared" ref="G1054:G1124" si="224">F1054/E1054</f>
        <v>0.97480882657266499</v>
      </c>
      <c r="H1054" s="1635">
        <f t="shared" si="216"/>
        <v>6900969</v>
      </c>
      <c r="M1054" s="1636">
        <v>1030</v>
      </c>
      <c r="P1054" s="1636">
        <v>250000</v>
      </c>
      <c r="U1054" s="1636">
        <v>250000</v>
      </c>
      <c r="V1054" s="1636">
        <v>3246339</v>
      </c>
      <c r="X1054" s="1636">
        <v>3128450</v>
      </c>
      <c r="Y1054" s="1636">
        <v>5150</v>
      </c>
      <c r="Z1054" s="1637">
        <v>20000</v>
      </c>
    </row>
    <row r="1055" spans="1:26" ht="17.100000000000001" customHeight="1">
      <c r="A1055" s="1666"/>
      <c r="B1055" s="3041"/>
      <c r="C1055" s="2112" t="s">
        <v>785</v>
      </c>
      <c r="D1055" s="1720" t="s">
        <v>786</v>
      </c>
      <c r="E1055" s="1904">
        <v>0</v>
      </c>
      <c r="F1055" s="2039">
        <f>H1055</f>
        <v>5000</v>
      </c>
      <c r="G1055" s="1905"/>
      <c r="H1055" s="1635">
        <f t="shared" si="216"/>
        <v>5000</v>
      </c>
      <c r="U1055" s="1636">
        <v>5000</v>
      </c>
    </row>
    <row r="1056" spans="1:26" ht="17.100000000000001" customHeight="1">
      <c r="A1056" s="1666"/>
      <c r="B1056" s="3041"/>
      <c r="C1056" s="2112" t="s">
        <v>950</v>
      </c>
      <c r="D1056" s="2113" t="s">
        <v>951</v>
      </c>
      <c r="E1056" s="1904">
        <f>3640+15000+14000</f>
        <v>32640</v>
      </c>
      <c r="F1056" s="2039">
        <f t="shared" si="223"/>
        <v>13640</v>
      </c>
      <c r="G1056" s="1905">
        <f t="shared" si="224"/>
        <v>0.41789215686274511</v>
      </c>
      <c r="H1056" s="1635">
        <f t="shared" si="216"/>
        <v>13640</v>
      </c>
      <c r="V1056" s="1636">
        <v>0</v>
      </c>
      <c r="X1056" s="1636">
        <v>10000</v>
      </c>
      <c r="Z1056" s="1637">
        <v>3640</v>
      </c>
    </row>
    <row r="1057" spans="1:26" ht="17.100000000000001" customHeight="1">
      <c r="A1057" s="1666"/>
      <c r="B1057" s="3041"/>
      <c r="C1057" s="2112" t="s">
        <v>787</v>
      </c>
      <c r="D1057" s="2113" t="s">
        <v>788</v>
      </c>
      <c r="E1057" s="1904">
        <f>500+475000+18000+15000</f>
        <v>508500</v>
      </c>
      <c r="F1057" s="2039">
        <f t="shared" si="223"/>
        <v>447700</v>
      </c>
      <c r="G1057" s="1905">
        <f t="shared" si="224"/>
        <v>0.88043264503441498</v>
      </c>
      <c r="H1057" s="1635">
        <f t="shared" si="216"/>
        <v>447700</v>
      </c>
      <c r="N1057" s="1636">
        <v>15450</v>
      </c>
      <c r="V1057" s="1636">
        <v>404750</v>
      </c>
      <c r="X1057" s="1636">
        <v>27000</v>
      </c>
      <c r="Z1057" s="1637">
        <v>500</v>
      </c>
    </row>
    <row r="1058" spans="1:26" ht="17.100000000000001" customHeight="1">
      <c r="A1058" s="1666"/>
      <c r="B1058" s="3041"/>
      <c r="C1058" s="2112" t="s">
        <v>791</v>
      </c>
      <c r="D1058" s="2113" t="s">
        <v>792</v>
      </c>
      <c r="E1058" s="1904">
        <v>2000</v>
      </c>
      <c r="F1058" s="2039">
        <f t="shared" si="223"/>
        <v>4000</v>
      </c>
      <c r="G1058" s="1905">
        <f t="shared" si="224"/>
        <v>2</v>
      </c>
      <c r="H1058" s="1635">
        <f t="shared" si="216"/>
        <v>4000</v>
      </c>
      <c r="U1058" s="1636">
        <v>2000</v>
      </c>
      <c r="X1058" s="1636">
        <v>2000</v>
      </c>
    </row>
    <row r="1059" spans="1:26" ht="17.100000000000001" customHeight="1">
      <c r="A1059" s="1666"/>
      <c r="B1059" s="3041"/>
      <c r="C1059" s="2112" t="s">
        <v>927</v>
      </c>
      <c r="D1059" s="2113" t="s">
        <v>928</v>
      </c>
      <c r="E1059" s="1904">
        <f>10000+5000</f>
        <v>15000</v>
      </c>
      <c r="F1059" s="2039">
        <f t="shared" si="223"/>
        <v>8000</v>
      </c>
      <c r="G1059" s="1905">
        <f t="shared" si="224"/>
        <v>0.53333333333333333</v>
      </c>
      <c r="H1059" s="1635">
        <f t="shared" si="216"/>
        <v>8000</v>
      </c>
      <c r="U1059" s="1636">
        <v>5000</v>
      </c>
      <c r="X1059" s="1636">
        <v>3000</v>
      </c>
    </row>
    <row r="1060" spans="1:26" ht="17.100000000000001" customHeight="1">
      <c r="A1060" s="1666"/>
      <c r="B1060" s="3041"/>
      <c r="C1060" s="2112" t="s">
        <v>793</v>
      </c>
      <c r="D1060" s="2113" t="s">
        <v>794</v>
      </c>
      <c r="E1060" s="1904">
        <f>148879+160000</f>
        <v>308879</v>
      </c>
      <c r="F1060" s="2039">
        <f t="shared" si="223"/>
        <v>373027</v>
      </c>
      <c r="G1060" s="1905">
        <f t="shared" si="224"/>
        <v>1.2076800300441273</v>
      </c>
      <c r="H1060" s="1635">
        <f t="shared" si="216"/>
        <v>373027</v>
      </c>
      <c r="X1060" s="1636">
        <v>150000</v>
      </c>
      <c r="Y1060" s="1636">
        <v>223027</v>
      </c>
    </row>
    <row r="1061" spans="1:26" ht="17.100000000000001" customHeight="1">
      <c r="A1061" s="1666"/>
      <c r="B1061" s="3041"/>
      <c r="C1061" s="2112" t="s">
        <v>1044</v>
      </c>
      <c r="D1061" s="2113" t="s">
        <v>1045</v>
      </c>
      <c r="E1061" s="1904">
        <f>12500+48000</f>
        <v>60500</v>
      </c>
      <c r="F1061" s="2039">
        <f t="shared" si="223"/>
        <v>63000</v>
      </c>
      <c r="G1061" s="1905">
        <f t="shared" si="224"/>
        <v>1.0413223140495869</v>
      </c>
      <c r="H1061" s="1635">
        <f t="shared" si="216"/>
        <v>63000</v>
      </c>
      <c r="X1061" s="1636">
        <v>48000</v>
      </c>
      <c r="Z1061" s="1637">
        <v>15000</v>
      </c>
    </row>
    <row r="1062" spans="1:26" ht="15.75" customHeight="1">
      <c r="A1062" s="1666"/>
      <c r="B1062" s="3041"/>
      <c r="C1062" s="2112" t="s">
        <v>874</v>
      </c>
      <c r="D1062" s="2113" t="s">
        <v>875</v>
      </c>
      <c r="E1062" s="1904">
        <f>2000+6907</f>
        <v>8907</v>
      </c>
      <c r="F1062" s="2039">
        <f t="shared" si="223"/>
        <v>17114</v>
      </c>
      <c r="G1062" s="1905">
        <f t="shared" si="224"/>
        <v>1.9214101268665096</v>
      </c>
      <c r="H1062" s="1635">
        <f t="shared" si="216"/>
        <v>17114</v>
      </c>
      <c r="M1062" s="1636">
        <v>7114</v>
      </c>
      <c r="X1062" s="1636">
        <v>10000</v>
      </c>
    </row>
    <row r="1063" spans="1:26" ht="15.75" customHeight="1">
      <c r="A1063" s="1666"/>
      <c r="B1063" s="3041"/>
      <c r="C1063" s="2112" t="s">
        <v>805</v>
      </c>
      <c r="D1063" s="2113" t="s">
        <v>1037</v>
      </c>
      <c r="E1063" s="1904">
        <v>0</v>
      </c>
      <c r="F1063" s="2039">
        <f t="shared" si="223"/>
        <v>40000</v>
      </c>
      <c r="G1063" s="1905"/>
      <c r="H1063" s="1635">
        <f t="shared" si="216"/>
        <v>40000</v>
      </c>
      <c r="U1063" s="1636">
        <v>10000</v>
      </c>
      <c r="V1063" s="1636">
        <v>30000</v>
      </c>
    </row>
    <row r="1064" spans="1:26" ht="12.75" customHeight="1">
      <c r="A1064" s="1666"/>
      <c r="B1064" s="3041"/>
      <c r="C1064" s="1699"/>
      <c r="D1064" s="1699"/>
      <c r="E1064" s="1904"/>
      <c r="F1064" s="2039"/>
      <c r="G1064" s="1905"/>
      <c r="H1064" s="1635">
        <f t="shared" si="216"/>
        <v>0</v>
      </c>
    </row>
    <row r="1065" spans="1:26" ht="12.75" hidden="1" customHeight="1">
      <c r="A1065" s="1666"/>
      <c r="B1065" s="3041"/>
      <c r="C1065" s="3639" t="s">
        <v>857</v>
      </c>
      <c r="D1065" s="3639"/>
      <c r="E1065" s="1904">
        <f>SUM(E1066:E1067)</f>
        <v>0</v>
      </c>
      <c r="F1065" s="1904">
        <f>SUM(F1066:F1067)</f>
        <v>0</v>
      </c>
      <c r="G1065" s="1905" t="e">
        <f t="shared" si="224"/>
        <v>#DIV/0!</v>
      </c>
      <c r="H1065" s="1635">
        <f t="shared" si="216"/>
        <v>0</v>
      </c>
    </row>
    <row r="1066" spans="1:26" ht="38.25" hidden="1" customHeight="1">
      <c r="A1066" s="1666"/>
      <c r="B1066" s="3041"/>
      <c r="C1066" s="2121" t="s">
        <v>915</v>
      </c>
      <c r="D1066" s="2122" t="s">
        <v>1046</v>
      </c>
      <c r="E1066" s="1904">
        <v>0</v>
      </c>
      <c r="F1066" s="2039">
        <f>H1066</f>
        <v>0</v>
      </c>
      <c r="G1066" s="1905" t="e">
        <f t="shared" si="224"/>
        <v>#DIV/0!</v>
      </c>
      <c r="H1066" s="1635">
        <f t="shared" si="216"/>
        <v>0</v>
      </c>
    </row>
    <row r="1067" spans="1:26" ht="15" hidden="1" customHeight="1">
      <c r="A1067" s="1666"/>
      <c r="B1067" s="3041"/>
      <c r="C1067" s="2112" t="s">
        <v>805</v>
      </c>
      <c r="D1067" s="2138" t="s">
        <v>1037</v>
      </c>
      <c r="E1067" s="1904">
        <v>0</v>
      </c>
      <c r="F1067" s="2039">
        <f>H1067</f>
        <v>0</v>
      </c>
      <c r="G1067" s="1905" t="e">
        <f t="shared" si="224"/>
        <v>#DIV/0!</v>
      </c>
      <c r="H1067" s="1635">
        <f t="shared" si="216"/>
        <v>0</v>
      </c>
    </row>
    <row r="1068" spans="1:26" ht="17.100000000000001" hidden="1" customHeight="1">
      <c r="A1068" s="1666"/>
      <c r="B1068" s="3041"/>
      <c r="C1068" s="2139"/>
      <c r="D1068" s="2139"/>
      <c r="E1068" s="2140"/>
      <c r="F1068" s="2141"/>
      <c r="G1068" s="2142"/>
      <c r="H1068" s="1635">
        <f t="shared" si="216"/>
        <v>0</v>
      </c>
    </row>
    <row r="1069" spans="1:26" ht="17.100000000000001" customHeight="1">
      <c r="A1069" s="1666"/>
      <c r="B1069" s="3041"/>
      <c r="C1069" s="3640" t="s">
        <v>1042</v>
      </c>
      <c r="D1069" s="3640"/>
      <c r="E1069" s="2143">
        <f t="shared" ref="E1069:F1069" si="225">E1070</f>
        <v>5153</v>
      </c>
      <c r="F1069" s="2141">
        <f t="shared" si="225"/>
        <v>25153</v>
      </c>
      <c r="G1069" s="2144">
        <f t="shared" si="224"/>
        <v>4.8812342324859301</v>
      </c>
      <c r="H1069" s="1635">
        <f t="shared" si="216"/>
        <v>0</v>
      </c>
    </row>
    <row r="1070" spans="1:26" ht="17.100000000000001" customHeight="1">
      <c r="A1070" s="1666"/>
      <c r="B1070" s="3041"/>
      <c r="C1070" s="2145" t="s">
        <v>1014</v>
      </c>
      <c r="D1070" s="2146" t="s">
        <v>1021</v>
      </c>
      <c r="E1070" s="2143">
        <v>5153</v>
      </c>
      <c r="F1070" s="2116">
        <f>H1070</f>
        <v>25153</v>
      </c>
      <c r="G1070" s="2144">
        <f t="shared" si="224"/>
        <v>4.8812342324859301</v>
      </c>
      <c r="H1070" s="1635">
        <f t="shared" si="216"/>
        <v>25153</v>
      </c>
      <c r="Y1070" s="1636">
        <v>20000</v>
      </c>
      <c r="Z1070" s="1637">
        <v>5153</v>
      </c>
    </row>
    <row r="1071" spans="1:26" ht="17.100000000000001" customHeight="1">
      <c r="A1071" s="1666"/>
      <c r="B1071" s="3041"/>
      <c r="C1071" s="3641"/>
      <c r="D1071" s="3642"/>
      <c r="E1071" s="2147"/>
      <c r="F1071" s="2116"/>
      <c r="G1071" s="2148"/>
      <c r="H1071" s="1635">
        <f t="shared" si="216"/>
        <v>0</v>
      </c>
    </row>
    <row r="1072" spans="1:26" ht="17.100000000000001" customHeight="1">
      <c r="A1072" s="1666"/>
      <c r="B1072" s="3041"/>
      <c r="C1072" s="3628" t="s">
        <v>825</v>
      </c>
      <c r="D1072" s="3495"/>
      <c r="E1072" s="1749">
        <f>SUM(E1073:E1134)</f>
        <v>7308314</v>
      </c>
      <c r="F1072" s="2116">
        <f>SUM(F1073:F1134)</f>
        <v>4274773</v>
      </c>
      <c r="G1072" s="1750">
        <f t="shared" si="224"/>
        <v>0.58491917561287055</v>
      </c>
      <c r="H1072" s="1635">
        <f t="shared" si="216"/>
        <v>0</v>
      </c>
    </row>
    <row r="1073" spans="1:24" ht="64.5" customHeight="1">
      <c r="A1073" s="1666"/>
      <c r="B1073" s="3041"/>
      <c r="C1073" s="2149" t="s">
        <v>489</v>
      </c>
      <c r="D1073" s="1770" t="s">
        <v>826</v>
      </c>
      <c r="E1073" s="1749">
        <v>470810</v>
      </c>
      <c r="F1073" s="2116">
        <f>H1073</f>
        <v>501117</v>
      </c>
      <c r="G1073" s="1750">
        <f t="shared" si="224"/>
        <v>1.0643720396763026</v>
      </c>
      <c r="H1073" s="1635">
        <f t="shared" si="216"/>
        <v>501117</v>
      </c>
      <c r="V1073" s="1636">
        <v>501117</v>
      </c>
    </row>
    <row r="1074" spans="1:24" ht="65.25" hidden="1" customHeight="1">
      <c r="A1074" s="1666"/>
      <c r="B1074" s="3041"/>
      <c r="C1074" s="2149" t="s">
        <v>484</v>
      </c>
      <c r="D1074" s="1770" t="s">
        <v>826</v>
      </c>
      <c r="E1074" s="1749"/>
      <c r="F1074" s="2116">
        <f t="shared" ref="F1074:F1134" si="226">H1074</f>
        <v>0</v>
      </c>
      <c r="G1074" s="1750" t="e">
        <f t="shared" si="224"/>
        <v>#DIV/0!</v>
      </c>
      <c r="H1074" s="1635">
        <f t="shared" si="216"/>
        <v>0</v>
      </c>
    </row>
    <row r="1075" spans="1:24" ht="65.25" customHeight="1">
      <c r="A1075" s="1666"/>
      <c r="B1075" s="3041"/>
      <c r="C1075" s="2149" t="s">
        <v>649</v>
      </c>
      <c r="D1075" s="1770" t="s">
        <v>826</v>
      </c>
      <c r="E1075" s="1749">
        <v>29267</v>
      </c>
      <c r="F1075" s="2116">
        <f t="shared" si="226"/>
        <v>30658</v>
      </c>
      <c r="G1075" s="1750">
        <f t="shared" si="224"/>
        <v>1.0475279324836846</v>
      </c>
      <c r="H1075" s="1635">
        <f t="shared" si="216"/>
        <v>30658</v>
      </c>
      <c r="V1075" s="1636">
        <v>30658</v>
      </c>
    </row>
    <row r="1076" spans="1:24" ht="52.5" customHeight="1">
      <c r="A1076" s="1666"/>
      <c r="B1076" s="3041"/>
      <c r="C1076" s="2149" t="s">
        <v>573</v>
      </c>
      <c r="D1076" s="1770" t="s">
        <v>1047</v>
      </c>
      <c r="E1076" s="1749">
        <v>445338</v>
      </c>
      <c r="F1076" s="2116">
        <f t="shared" si="226"/>
        <v>298291</v>
      </c>
      <c r="G1076" s="1750">
        <f t="shared" si="224"/>
        <v>0.66980810081331488</v>
      </c>
      <c r="H1076" s="1635">
        <f t="shared" si="216"/>
        <v>298291</v>
      </c>
      <c r="V1076" s="1636">
        <v>298291</v>
      </c>
    </row>
    <row r="1077" spans="1:24" ht="52.5" customHeight="1" thickBot="1">
      <c r="A1077" s="1792"/>
      <c r="B1077" s="3086"/>
      <c r="C1077" s="3201" t="s">
        <v>486</v>
      </c>
      <c r="D1077" s="3072" t="s">
        <v>1047</v>
      </c>
      <c r="E1077" s="1764">
        <v>26968</v>
      </c>
      <c r="F1077" s="3084">
        <f t="shared" si="226"/>
        <v>18064</v>
      </c>
      <c r="G1077" s="1750">
        <f t="shared" si="224"/>
        <v>0.66983091070898848</v>
      </c>
      <c r="H1077" s="1635">
        <f t="shared" si="216"/>
        <v>18064</v>
      </c>
      <c r="V1077" s="1636">
        <v>18064</v>
      </c>
    </row>
    <row r="1078" spans="1:24" ht="52.5" hidden="1" customHeight="1">
      <c r="A1078" s="1666"/>
      <c r="B1078" s="3041"/>
      <c r="C1078" s="3199" t="s">
        <v>653</v>
      </c>
      <c r="D1078" s="3200" t="s">
        <v>879</v>
      </c>
      <c r="E1078" s="3078">
        <f>16362+700</f>
        <v>17062</v>
      </c>
      <c r="F1078" s="3083">
        <f t="shared" si="226"/>
        <v>0</v>
      </c>
      <c r="G1078" s="1750">
        <f t="shared" si="224"/>
        <v>0</v>
      </c>
    </row>
    <row r="1079" spans="1:24" ht="52.5" hidden="1" customHeight="1">
      <c r="A1079" s="1666"/>
      <c r="B1079" s="3041"/>
      <c r="C1079" s="2149" t="s">
        <v>591</v>
      </c>
      <c r="D1079" s="1770" t="s">
        <v>879</v>
      </c>
      <c r="E1079" s="1749">
        <f>2888+124</f>
        <v>3012</v>
      </c>
      <c r="F1079" s="2116">
        <f t="shared" si="226"/>
        <v>0</v>
      </c>
      <c r="G1079" s="1750">
        <f t="shared" si="224"/>
        <v>0</v>
      </c>
    </row>
    <row r="1080" spans="1:24" ht="15.75" hidden="1" customHeight="1">
      <c r="A1080" s="1666"/>
      <c r="B1080" s="3041"/>
      <c r="C1080" s="2149" t="s">
        <v>1048</v>
      </c>
      <c r="D1080" s="1770" t="s">
        <v>886</v>
      </c>
      <c r="E1080" s="1749"/>
      <c r="F1080" s="2116">
        <f t="shared" si="226"/>
        <v>0</v>
      </c>
      <c r="G1080" s="1750" t="e">
        <f t="shared" si="224"/>
        <v>#DIV/0!</v>
      </c>
      <c r="H1080" s="1635">
        <f t="shared" si="216"/>
        <v>0</v>
      </c>
    </row>
    <row r="1081" spans="1:24" ht="15.75" customHeight="1">
      <c r="A1081" s="1666"/>
      <c r="B1081" s="3041"/>
      <c r="C1081" s="1719" t="s">
        <v>887</v>
      </c>
      <c r="D1081" s="2150" t="s">
        <v>759</v>
      </c>
      <c r="E1081" s="1749">
        <v>269202</v>
      </c>
      <c r="F1081" s="2126">
        <f t="shared" si="226"/>
        <v>143500</v>
      </c>
      <c r="G1081" s="1750">
        <f t="shared" si="224"/>
        <v>0.5330569609438266</v>
      </c>
      <c r="H1081" s="1635">
        <f t="shared" si="216"/>
        <v>143500</v>
      </c>
      <c r="V1081" s="1636">
        <v>143500</v>
      </c>
    </row>
    <row r="1082" spans="1:24" ht="17.100000000000001" customHeight="1">
      <c r="A1082" s="1666"/>
      <c r="B1082" s="3041"/>
      <c r="C1082" s="1719" t="s">
        <v>828</v>
      </c>
      <c r="D1082" s="2150" t="s">
        <v>759</v>
      </c>
      <c r="E1082" s="1749">
        <f>14646+97317+7344+972234+259000</f>
        <v>1350541</v>
      </c>
      <c r="F1082" s="2126">
        <f t="shared" si="226"/>
        <v>1064729</v>
      </c>
      <c r="G1082" s="1750">
        <f t="shared" si="224"/>
        <v>0.78837221528261636</v>
      </c>
      <c r="H1082" s="1635">
        <f t="shared" si="216"/>
        <v>1064729</v>
      </c>
      <c r="K1082" s="1636">
        <v>1832</v>
      </c>
      <c r="T1082" s="1636">
        <v>981750</v>
      </c>
      <c r="V1082" s="1636">
        <v>1832</v>
      </c>
      <c r="X1082" s="1636">
        <v>79315</v>
      </c>
    </row>
    <row r="1083" spans="1:24" ht="17.100000000000001" customHeight="1">
      <c r="A1083" s="1666"/>
      <c r="B1083" s="3041"/>
      <c r="C1083" s="2151" t="s">
        <v>829</v>
      </c>
      <c r="D1083" s="2150" t="s">
        <v>759</v>
      </c>
      <c r="E1083" s="1749">
        <f>46564+24424+2256+171570</f>
        <v>244814</v>
      </c>
      <c r="F1083" s="2126">
        <f t="shared" si="226"/>
        <v>213168</v>
      </c>
      <c r="G1083" s="1750">
        <f t="shared" si="224"/>
        <v>0.87073451681684866</v>
      </c>
      <c r="H1083" s="1635">
        <f t="shared" si="216"/>
        <v>213168</v>
      </c>
      <c r="K1083" s="1636">
        <v>562</v>
      </c>
      <c r="T1083" s="1636">
        <v>173250</v>
      </c>
      <c r="V1083" s="1636">
        <v>23121</v>
      </c>
      <c r="X1083" s="1636">
        <v>16235</v>
      </c>
    </row>
    <row r="1084" spans="1:24" ht="17.100000000000001" customHeight="1">
      <c r="A1084" s="3182"/>
      <c r="B1084" s="3177"/>
      <c r="C1084" s="3099" t="s">
        <v>830</v>
      </c>
      <c r="D1084" s="3100" t="s">
        <v>761</v>
      </c>
      <c r="E1084" s="3078">
        <f>2975+66136+20000</f>
        <v>89111</v>
      </c>
      <c r="F1084" s="3198">
        <f t="shared" si="226"/>
        <v>75735</v>
      </c>
      <c r="G1084" s="1750">
        <f t="shared" si="224"/>
        <v>0.84989507468213799</v>
      </c>
      <c r="H1084" s="1635">
        <f t="shared" si="216"/>
        <v>75735</v>
      </c>
      <c r="T1084" s="1636">
        <v>70635</v>
      </c>
      <c r="X1084" s="1636">
        <v>5100</v>
      </c>
    </row>
    <row r="1085" spans="1:24" ht="17.100000000000001" customHeight="1">
      <c r="A1085" s="1666"/>
      <c r="B1085" s="3041"/>
      <c r="C1085" s="3076" t="s">
        <v>831</v>
      </c>
      <c r="D1085" s="3077" t="s">
        <v>761</v>
      </c>
      <c r="E1085" s="3078">
        <f>525+11671</f>
        <v>12196</v>
      </c>
      <c r="F1085" s="3083">
        <f t="shared" si="226"/>
        <v>13365</v>
      </c>
      <c r="G1085" s="1750">
        <f t="shared" si="224"/>
        <v>1.095851098720892</v>
      </c>
      <c r="H1085" s="1635">
        <f t="shared" si="216"/>
        <v>13365</v>
      </c>
      <c r="T1085" s="1636">
        <v>12465</v>
      </c>
      <c r="X1085" s="1636">
        <v>900</v>
      </c>
    </row>
    <row r="1086" spans="1:24" ht="17.100000000000001" customHeight="1">
      <c r="A1086" s="1666"/>
      <c r="B1086" s="3041"/>
      <c r="C1086" s="2151" t="s">
        <v>889</v>
      </c>
      <c r="D1086" s="2150" t="s">
        <v>763</v>
      </c>
      <c r="E1086" s="1749">
        <v>46142</v>
      </c>
      <c r="F1086" s="2126">
        <f t="shared" si="226"/>
        <v>24803</v>
      </c>
      <c r="G1086" s="1750">
        <f t="shared" si="224"/>
        <v>0.53753630098391925</v>
      </c>
      <c r="H1086" s="1635">
        <f t="shared" si="216"/>
        <v>24803</v>
      </c>
      <c r="V1086" s="1636">
        <v>24803</v>
      </c>
    </row>
    <row r="1087" spans="1:24" ht="17.100000000000001" customHeight="1">
      <c r="A1087" s="1666"/>
      <c r="B1087" s="3041"/>
      <c r="C1087" s="2151" t="s">
        <v>832</v>
      </c>
      <c r="D1087" s="2150" t="s">
        <v>763</v>
      </c>
      <c r="E1087" s="1749">
        <f>2525+17615+1262+177301+48000</f>
        <v>246703</v>
      </c>
      <c r="F1087" s="2126">
        <f t="shared" si="226"/>
        <v>195576</v>
      </c>
      <c r="G1087" s="1750">
        <f t="shared" si="224"/>
        <v>0.79275890443164454</v>
      </c>
      <c r="H1087" s="1635">
        <f t="shared" si="216"/>
        <v>195576</v>
      </c>
      <c r="K1087" s="1636">
        <v>316</v>
      </c>
      <c r="T1087" s="1636">
        <v>181305</v>
      </c>
      <c r="V1087" s="1636">
        <v>316</v>
      </c>
      <c r="X1087" s="1636">
        <v>13639</v>
      </c>
    </row>
    <row r="1088" spans="1:24" ht="17.100000000000001" customHeight="1">
      <c r="A1088" s="1666"/>
      <c r="B1088" s="3041"/>
      <c r="C1088" s="2151" t="s">
        <v>833</v>
      </c>
      <c r="D1088" s="2150" t="s">
        <v>763</v>
      </c>
      <c r="E1088" s="1749">
        <f>8008+4358+388+31289</f>
        <v>44043</v>
      </c>
      <c r="F1088" s="2126">
        <f t="shared" si="226"/>
        <v>38875</v>
      </c>
      <c r="G1088" s="1750">
        <f t="shared" si="224"/>
        <v>0.88266012760257018</v>
      </c>
      <c r="H1088" s="1635">
        <f t="shared" si="216"/>
        <v>38875</v>
      </c>
      <c r="K1088" s="1636">
        <v>97</v>
      </c>
      <c r="T1088" s="1636">
        <v>31995</v>
      </c>
      <c r="V1088" s="1636">
        <v>3989</v>
      </c>
      <c r="X1088" s="1636">
        <v>2794</v>
      </c>
    </row>
    <row r="1089" spans="1:24" ht="26.25" customHeight="1">
      <c r="A1089" s="1666"/>
      <c r="B1089" s="3041"/>
      <c r="C1089" s="2151" t="s">
        <v>890</v>
      </c>
      <c r="D1089" s="2150" t="s">
        <v>1440</v>
      </c>
      <c r="E1089" s="1749">
        <v>6452</v>
      </c>
      <c r="F1089" s="2126">
        <f t="shared" si="226"/>
        <v>3460</v>
      </c>
      <c r="G1089" s="1750">
        <f t="shared" si="224"/>
        <v>0.53626782393056416</v>
      </c>
      <c r="H1089" s="1635">
        <f t="shared" si="216"/>
        <v>3460</v>
      </c>
      <c r="V1089" s="1636">
        <v>3460</v>
      </c>
    </row>
    <row r="1090" spans="1:24" ht="26.25" customHeight="1">
      <c r="A1090" s="1666"/>
      <c r="B1090" s="3041"/>
      <c r="C1090" s="2151" t="s">
        <v>834</v>
      </c>
      <c r="D1090" s="2150" t="s">
        <v>1440</v>
      </c>
      <c r="E1090" s="1749">
        <f>360+2511+180+52598+7000</f>
        <v>62649</v>
      </c>
      <c r="F1090" s="2126">
        <f t="shared" si="226"/>
        <v>28468</v>
      </c>
      <c r="G1090" s="1750">
        <f t="shared" si="224"/>
        <v>0.45440469919711407</v>
      </c>
      <c r="H1090" s="1635">
        <f t="shared" si="216"/>
        <v>28468</v>
      </c>
      <c r="K1090" s="1636">
        <v>45</v>
      </c>
      <c r="T1090" s="1636">
        <v>26435</v>
      </c>
      <c r="V1090" s="1636">
        <v>45</v>
      </c>
      <c r="X1090" s="1636">
        <v>1943</v>
      </c>
    </row>
    <row r="1091" spans="1:24" ht="25.5" customHeight="1">
      <c r="A1091" s="1666"/>
      <c r="B1091" s="3041"/>
      <c r="C1091" s="2151" t="s">
        <v>835</v>
      </c>
      <c r="D1091" s="2150" t="s">
        <v>1440</v>
      </c>
      <c r="E1091" s="1749">
        <f>1119+622+56+9282</f>
        <v>11079</v>
      </c>
      <c r="F1091" s="2126">
        <f t="shared" si="226"/>
        <v>5632</v>
      </c>
      <c r="G1091" s="1750">
        <f t="shared" si="224"/>
        <v>0.50834912898276019</v>
      </c>
      <c r="H1091" s="1635">
        <f t="shared" si="216"/>
        <v>5632</v>
      </c>
      <c r="K1091" s="1636">
        <v>14</v>
      </c>
      <c r="T1091" s="1636">
        <v>4665</v>
      </c>
      <c r="V1091" s="1636">
        <v>554</v>
      </c>
      <c r="X1091" s="1636">
        <v>399</v>
      </c>
    </row>
    <row r="1092" spans="1:24" ht="17.100000000000001" hidden="1" customHeight="1">
      <c r="A1092" s="1666"/>
      <c r="B1092" s="3041"/>
      <c r="C1092" s="2151" t="s">
        <v>1003</v>
      </c>
      <c r="D1092" s="2150" t="s">
        <v>767</v>
      </c>
      <c r="E1092" s="1749"/>
      <c r="F1092" s="2126">
        <f t="shared" si="226"/>
        <v>0</v>
      </c>
      <c r="G1092" s="1750" t="e">
        <f t="shared" si="224"/>
        <v>#DIV/0!</v>
      </c>
      <c r="H1092" s="1635">
        <f t="shared" si="216"/>
        <v>0</v>
      </c>
    </row>
    <row r="1093" spans="1:24" ht="17.100000000000001" hidden="1" customHeight="1">
      <c r="A1093" s="1666"/>
      <c r="B1093" s="3041"/>
      <c r="C1093" s="2151" t="s">
        <v>836</v>
      </c>
      <c r="D1093" s="2150" t="s">
        <v>767</v>
      </c>
      <c r="E1093" s="1749"/>
      <c r="F1093" s="2126">
        <f t="shared" si="226"/>
        <v>0</v>
      </c>
      <c r="G1093" s="1750" t="e">
        <f t="shared" si="224"/>
        <v>#DIV/0!</v>
      </c>
      <c r="H1093" s="1635">
        <f t="shared" ref="H1093:H1161" si="227">SUM(I1093:AE1093)</f>
        <v>0</v>
      </c>
    </row>
    <row r="1094" spans="1:24" ht="17.100000000000001" hidden="1" customHeight="1">
      <c r="A1094" s="1666"/>
      <c r="B1094" s="3041"/>
      <c r="C1094" s="2151" t="s">
        <v>837</v>
      </c>
      <c r="D1094" s="2150" t="s">
        <v>767</v>
      </c>
      <c r="E1094" s="1749"/>
      <c r="F1094" s="2126">
        <f t="shared" si="226"/>
        <v>0</v>
      </c>
      <c r="G1094" s="1750" t="e">
        <f t="shared" si="224"/>
        <v>#DIV/0!</v>
      </c>
      <c r="H1094" s="1635">
        <f t="shared" si="227"/>
        <v>0</v>
      </c>
    </row>
    <row r="1095" spans="1:24" ht="17.100000000000001" hidden="1" customHeight="1">
      <c r="A1095" s="1666"/>
      <c r="B1095" s="3041"/>
      <c r="C1095" s="2151" t="s">
        <v>773</v>
      </c>
      <c r="D1095" s="2150" t="s">
        <v>774</v>
      </c>
      <c r="E1095" s="1749"/>
      <c r="F1095" s="2126">
        <f t="shared" si="226"/>
        <v>0</v>
      </c>
      <c r="G1095" s="1750" t="e">
        <f t="shared" si="224"/>
        <v>#DIV/0!</v>
      </c>
      <c r="H1095" s="1635">
        <f t="shared" si="227"/>
        <v>0</v>
      </c>
    </row>
    <row r="1096" spans="1:24" ht="17.100000000000001" customHeight="1">
      <c r="A1096" s="1666"/>
      <c r="B1096" s="3041"/>
      <c r="C1096" s="2151" t="s">
        <v>891</v>
      </c>
      <c r="D1096" s="2150" t="s">
        <v>774</v>
      </c>
      <c r="E1096" s="1749">
        <v>48560</v>
      </c>
      <c r="F1096" s="2126">
        <f t="shared" si="226"/>
        <v>122618</v>
      </c>
      <c r="G1096" s="1750">
        <f t="shared" si="224"/>
        <v>2.5250823723228994</v>
      </c>
      <c r="H1096" s="1635">
        <f t="shared" si="227"/>
        <v>122618</v>
      </c>
      <c r="V1096" s="1636">
        <v>122618</v>
      </c>
    </row>
    <row r="1097" spans="1:24" ht="17.100000000000001" customHeight="1">
      <c r="A1097" s="1666"/>
      <c r="B1097" s="3041"/>
      <c r="C1097" s="2151" t="s">
        <v>841</v>
      </c>
      <c r="D1097" s="2150" t="s">
        <v>774</v>
      </c>
      <c r="E1097" s="1749">
        <f>31237+8075+57213+115000</f>
        <v>211525</v>
      </c>
      <c r="F1097" s="2126">
        <f t="shared" si="226"/>
        <v>54396</v>
      </c>
      <c r="G1097" s="1750">
        <f t="shared" si="224"/>
        <v>0.25716109206949533</v>
      </c>
      <c r="H1097" s="1635">
        <f t="shared" si="227"/>
        <v>54396</v>
      </c>
      <c r="T1097" s="1636">
        <v>45050</v>
      </c>
      <c r="X1097" s="1636">
        <v>9346</v>
      </c>
    </row>
    <row r="1098" spans="1:24" ht="17.100000000000001" customHeight="1">
      <c r="A1098" s="1666"/>
      <c r="B1098" s="3041"/>
      <c r="C1098" s="2151" t="s">
        <v>842</v>
      </c>
      <c r="D1098" s="2150" t="s">
        <v>774</v>
      </c>
      <c r="E1098" s="1749">
        <f>2940+5513+1425+10096</f>
        <v>19974</v>
      </c>
      <c r="F1098" s="2126">
        <f t="shared" si="226"/>
        <v>28176</v>
      </c>
      <c r="G1098" s="1750">
        <f t="shared" si="224"/>
        <v>1.4106338239711624</v>
      </c>
      <c r="H1098" s="1635">
        <f t="shared" si="227"/>
        <v>28176</v>
      </c>
      <c r="T1098" s="1636">
        <v>7950</v>
      </c>
      <c r="V1098" s="1636">
        <v>18577</v>
      </c>
      <c r="X1098" s="1636">
        <v>1649</v>
      </c>
    </row>
    <row r="1099" spans="1:24" ht="17.100000000000001" hidden="1" customHeight="1">
      <c r="A1099" s="1666"/>
      <c r="B1099" s="3041"/>
      <c r="C1099" s="2151" t="s">
        <v>1049</v>
      </c>
      <c r="D1099" s="2150" t="s">
        <v>776</v>
      </c>
      <c r="E1099" s="1749">
        <v>2000</v>
      </c>
      <c r="F1099" s="2126">
        <f t="shared" si="226"/>
        <v>0</v>
      </c>
      <c r="G1099" s="1750">
        <f t="shared" si="224"/>
        <v>0</v>
      </c>
      <c r="H1099" s="1635">
        <f t="shared" si="227"/>
        <v>0</v>
      </c>
    </row>
    <row r="1100" spans="1:24" ht="17.100000000000001" hidden="1" customHeight="1">
      <c r="A1100" s="1666"/>
      <c r="B1100" s="3041"/>
      <c r="C1100" s="2151" t="s">
        <v>1050</v>
      </c>
      <c r="D1100" s="2150" t="s">
        <v>776</v>
      </c>
      <c r="E1100" s="1749"/>
      <c r="F1100" s="2126">
        <f t="shared" si="226"/>
        <v>0</v>
      </c>
      <c r="G1100" s="1750" t="e">
        <f t="shared" si="224"/>
        <v>#DIV/0!</v>
      </c>
      <c r="H1100" s="1635">
        <f t="shared" si="227"/>
        <v>0</v>
      </c>
    </row>
    <row r="1101" spans="1:24" ht="17.100000000000001" hidden="1" customHeight="1">
      <c r="A1101" s="1666"/>
      <c r="B1101" s="3041"/>
      <c r="C1101" s="2151" t="s">
        <v>1051</v>
      </c>
      <c r="D1101" s="2150" t="s">
        <v>778</v>
      </c>
      <c r="E1101" s="1749"/>
      <c r="F1101" s="2126">
        <f t="shared" si="226"/>
        <v>0</v>
      </c>
      <c r="G1101" s="1750" t="e">
        <f t="shared" si="224"/>
        <v>#DIV/0!</v>
      </c>
      <c r="H1101" s="1635">
        <f t="shared" si="227"/>
        <v>0</v>
      </c>
    </row>
    <row r="1102" spans="1:24" ht="17.100000000000001" customHeight="1">
      <c r="A1102" s="1666"/>
      <c r="B1102" s="3041"/>
      <c r="C1102" s="2151" t="s">
        <v>1023</v>
      </c>
      <c r="D1102" s="2150" t="s">
        <v>778</v>
      </c>
      <c r="E1102" s="1749">
        <f>15300+5000</f>
        <v>20300</v>
      </c>
      <c r="F1102" s="2126">
        <f t="shared" si="226"/>
        <v>16600</v>
      </c>
      <c r="G1102" s="1750">
        <f t="shared" si="224"/>
        <v>0.81773399014778325</v>
      </c>
      <c r="H1102" s="1635">
        <f t="shared" si="227"/>
        <v>16600</v>
      </c>
      <c r="T1102" s="1636">
        <v>16600</v>
      </c>
    </row>
    <row r="1103" spans="1:24" ht="17.100000000000001" customHeight="1">
      <c r="A1103" s="1666"/>
      <c r="B1103" s="3041"/>
      <c r="C1103" s="2151" t="s">
        <v>1024</v>
      </c>
      <c r="D1103" s="2150" t="s">
        <v>778</v>
      </c>
      <c r="E1103" s="1749">
        <v>2700</v>
      </c>
      <c r="F1103" s="2126">
        <f t="shared" si="226"/>
        <v>2929</v>
      </c>
      <c r="G1103" s="1750">
        <f t="shared" si="224"/>
        <v>1.0848148148148149</v>
      </c>
      <c r="H1103" s="1635">
        <f t="shared" si="227"/>
        <v>2929</v>
      </c>
      <c r="T1103" s="1636">
        <v>2929</v>
      </c>
    </row>
    <row r="1104" spans="1:24" ht="17.100000000000001" hidden="1" customHeight="1">
      <c r="A1104" s="1666"/>
      <c r="B1104" s="3041"/>
      <c r="C1104" s="2151" t="s">
        <v>843</v>
      </c>
      <c r="D1104" s="2150" t="s">
        <v>780</v>
      </c>
      <c r="E1104" s="1749">
        <v>1000</v>
      </c>
      <c r="F1104" s="2126">
        <f t="shared" si="226"/>
        <v>0</v>
      </c>
      <c r="G1104" s="1750">
        <f t="shared" si="224"/>
        <v>0</v>
      </c>
      <c r="H1104" s="1635">
        <f t="shared" si="227"/>
        <v>0</v>
      </c>
    </row>
    <row r="1105" spans="1:27" ht="17.100000000000001" hidden="1" customHeight="1">
      <c r="A1105" s="1666"/>
      <c r="B1105" s="3041"/>
      <c r="C1105" s="2151" t="s">
        <v>844</v>
      </c>
      <c r="D1105" s="2150" t="s">
        <v>780</v>
      </c>
      <c r="E1105" s="1749"/>
      <c r="F1105" s="2126">
        <f t="shared" si="226"/>
        <v>0</v>
      </c>
      <c r="G1105" s="1750" t="e">
        <f t="shared" si="224"/>
        <v>#DIV/0!</v>
      </c>
      <c r="H1105" s="1635">
        <f t="shared" si="227"/>
        <v>0</v>
      </c>
    </row>
    <row r="1106" spans="1:27" ht="17.100000000000001" hidden="1" customHeight="1">
      <c r="A1106" s="1666"/>
      <c r="B1106" s="3041"/>
      <c r="C1106" s="2151" t="s">
        <v>783</v>
      </c>
      <c r="D1106" s="2150" t="s">
        <v>784</v>
      </c>
      <c r="E1106" s="1749"/>
      <c r="F1106" s="2126">
        <f t="shared" si="226"/>
        <v>0</v>
      </c>
      <c r="G1106" s="1750" t="e">
        <f t="shared" si="224"/>
        <v>#DIV/0!</v>
      </c>
      <c r="H1106" s="1635">
        <f t="shared" si="227"/>
        <v>0</v>
      </c>
    </row>
    <row r="1107" spans="1:27" ht="17.100000000000001" customHeight="1">
      <c r="A1107" s="1666"/>
      <c r="B1107" s="3041"/>
      <c r="C1107" s="2151" t="s">
        <v>892</v>
      </c>
      <c r="D1107" s="2150" t="s">
        <v>784</v>
      </c>
      <c r="E1107" s="1749">
        <v>1774651</v>
      </c>
      <c r="F1107" s="2126">
        <f t="shared" si="226"/>
        <v>753296</v>
      </c>
      <c r="G1107" s="1750">
        <f t="shared" si="224"/>
        <v>0.42447557294363791</v>
      </c>
      <c r="H1107" s="1635">
        <f t="shared" si="227"/>
        <v>753296</v>
      </c>
      <c r="V1107" s="1636">
        <v>753296</v>
      </c>
    </row>
    <row r="1108" spans="1:27" ht="17.100000000000001" customHeight="1">
      <c r="A1108" s="1666"/>
      <c r="B1108" s="3041"/>
      <c r="C1108" s="2151" t="s">
        <v>845</v>
      </c>
      <c r="D1108" s="2150" t="s">
        <v>784</v>
      </c>
      <c r="E1108" s="1749">
        <f>319039+9562+81090+975777</f>
        <v>1385468</v>
      </c>
      <c r="F1108" s="2126">
        <f t="shared" si="226"/>
        <v>313729</v>
      </c>
      <c r="G1108" s="1750">
        <f t="shared" si="224"/>
        <v>0.22644261722392722</v>
      </c>
      <c r="H1108" s="1635">
        <f t="shared" si="227"/>
        <v>313729</v>
      </c>
      <c r="T1108" s="1636">
        <v>38990</v>
      </c>
      <c r="X1108" s="1636">
        <v>246052</v>
      </c>
      <c r="AA1108" s="1637">
        <v>28687</v>
      </c>
    </row>
    <row r="1109" spans="1:27" ht="17.100000000000001" customHeight="1">
      <c r="A1109" s="1666"/>
      <c r="B1109" s="3041"/>
      <c r="C1109" s="2151" t="s">
        <v>846</v>
      </c>
      <c r="D1109" s="2150" t="s">
        <v>784</v>
      </c>
      <c r="E1109" s="1749">
        <f>163660+89118+2937+14310</f>
        <v>270025</v>
      </c>
      <c r="F1109" s="2126">
        <f t="shared" si="226"/>
        <v>149183</v>
      </c>
      <c r="G1109" s="1750">
        <f t="shared" si="224"/>
        <v>0.55247847421535046</v>
      </c>
      <c r="H1109" s="1635">
        <f t="shared" si="227"/>
        <v>149183</v>
      </c>
      <c r="T1109" s="1636">
        <v>6881</v>
      </c>
      <c r="V1109" s="1636">
        <v>62439</v>
      </c>
      <c r="X1109" s="1636">
        <v>71051</v>
      </c>
      <c r="AA1109" s="1637">
        <v>8812</v>
      </c>
    </row>
    <row r="1110" spans="1:27" ht="17.100000000000001" hidden="1" customHeight="1">
      <c r="A1110" s="1666"/>
      <c r="B1110" s="3041"/>
      <c r="C1110" s="2151" t="s">
        <v>1052</v>
      </c>
      <c r="D1110" s="2150" t="s">
        <v>786</v>
      </c>
      <c r="E1110" s="1749"/>
      <c r="F1110" s="2126">
        <f t="shared" si="226"/>
        <v>0</v>
      </c>
      <c r="G1110" s="1750" t="e">
        <f t="shared" si="224"/>
        <v>#DIV/0!</v>
      </c>
      <c r="H1110" s="1635">
        <f t="shared" si="227"/>
        <v>0</v>
      </c>
    </row>
    <row r="1111" spans="1:27" ht="17.100000000000001" customHeight="1">
      <c r="A1111" s="1666"/>
      <c r="B1111" s="3041"/>
      <c r="C1111" s="2151" t="s">
        <v>1027</v>
      </c>
      <c r="D1111" s="2150" t="s">
        <v>786</v>
      </c>
      <c r="E1111" s="1749">
        <f>935+13000</f>
        <v>13935</v>
      </c>
      <c r="F1111" s="2126">
        <f t="shared" si="226"/>
        <v>1020</v>
      </c>
      <c r="G1111" s="1750">
        <f t="shared" si="224"/>
        <v>7.3196986006458561E-2</v>
      </c>
      <c r="H1111" s="1635">
        <f t="shared" si="227"/>
        <v>1020</v>
      </c>
      <c r="T1111" s="1636">
        <v>1020</v>
      </c>
    </row>
    <row r="1112" spans="1:27" ht="17.100000000000001" customHeight="1">
      <c r="A1112" s="1666"/>
      <c r="B1112" s="3041"/>
      <c r="C1112" s="2151" t="s">
        <v>1053</v>
      </c>
      <c r="D1112" s="2150" t="s">
        <v>786</v>
      </c>
      <c r="E1112" s="1749">
        <v>165</v>
      </c>
      <c r="F1112" s="2126">
        <f t="shared" si="226"/>
        <v>180</v>
      </c>
      <c r="G1112" s="1750">
        <f t="shared" si="224"/>
        <v>1.0909090909090908</v>
      </c>
      <c r="H1112" s="1635">
        <f t="shared" si="227"/>
        <v>180</v>
      </c>
      <c r="T1112" s="1636">
        <v>180</v>
      </c>
    </row>
    <row r="1113" spans="1:27" ht="17.100000000000001" customHeight="1">
      <c r="A1113" s="1666"/>
      <c r="B1113" s="3041"/>
      <c r="C1113" s="2151" t="s">
        <v>952</v>
      </c>
      <c r="D1113" s="2150" t="s">
        <v>951</v>
      </c>
      <c r="E1113" s="1749">
        <f>850+3000</f>
        <v>3850</v>
      </c>
      <c r="F1113" s="2126">
        <f t="shared" si="226"/>
        <v>850</v>
      </c>
      <c r="G1113" s="1750">
        <f t="shared" si="224"/>
        <v>0.22077922077922077</v>
      </c>
      <c r="H1113" s="1635">
        <f t="shared" si="227"/>
        <v>850</v>
      </c>
      <c r="X1113" s="1636">
        <v>850</v>
      </c>
    </row>
    <row r="1114" spans="1:27" ht="17.100000000000001" customHeight="1">
      <c r="A1114" s="1666"/>
      <c r="B1114" s="3041"/>
      <c r="C1114" s="2151" t="s">
        <v>953</v>
      </c>
      <c r="D1114" s="2150" t="s">
        <v>951</v>
      </c>
      <c r="E1114" s="1749">
        <v>150</v>
      </c>
      <c r="F1114" s="2126">
        <f t="shared" si="226"/>
        <v>150</v>
      </c>
      <c r="G1114" s="1750">
        <f t="shared" si="224"/>
        <v>1</v>
      </c>
      <c r="H1114" s="1635">
        <f t="shared" si="227"/>
        <v>150</v>
      </c>
      <c r="X1114" s="1636">
        <v>150</v>
      </c>
    </row>
    <row r="1115" spans="1:27" ht="17.100000000000001" hidden="1" customHeight="1">
      <c r="A1115" s="1666"/>
      <c r="B1115" s="3041"/>
      <c r="C1115" s="2151" t="s">
        <v>893</v>
      </c>
      <c r="D1115" s="2150" t="s">
        <v>788</v>
      </c>
      <c r="E1115" s="1749"/>
      <c r="F1115" s="2126">
        <f t="shared" si="226"/>
        <v>0</v>
      </c>
      <c r="G1115" s="1750" t="e">
        <f t="shared" si="224"/>
        <v>#DIV/0!</v>
      </c>
      <c r="H1115" s="1635">
        <f t="shared" si="227"/>
        <v>0</v>
      </c>
    </row>
    <row r="1116" spans="1:27" ht="17.100000000000001" customHeight="1">
      <c r="A1116" s="1666"/>
      <c r="B1116" s="3041"/>
      <c r="C1116" s="2151" t="s">
        <v>847</v>
      </c>
      <c r="D1116" s="2150" t="s">
        <v>788</v>
      </c>
      <c r="E1116" s="1749">
        <v>0</v>
      </c>
      <c r="F1116" s="2126">
        <f t="shared" si="226"/>
        <v>76500</v>
      </c>
      <c r="G1116" s="1750"/>
      <c r="H1116" s="1635">
        <f t="shared" si="227"/>
        <v>76500</v>
      </c>
      <c r="X1116" s="1636">
        <v>76500</v>
      </c>
    </row>
    <row r="1117" spans="1:27" ht="17.100000000000001" customHeight="1">
      <c r="A1117" s="1666"/>
      <c r="B1117" s="3041"/>
      <c r="C1117" s="2151" t="s">
        <v>848</v>
      </c>
      <c r="D1117" s="2150" t="s">
        <v>788</v>
      </c>
      <c r="E1117" s="1749">
        <v>0</v>
      </c>
      <c r="F1117" s="2126">
        <f t="shared" si="226"/>
        <v>23500</v>
      </c>
      <c r="G1117" s="1750"/>
      <c r="H1117" s="1635">
        <f t="shared" si="227"/>
        <v>23500</v>
      </c>
      <c r="X1117" s="1636">
        <v>23500</v>
      </c>
    </row>
    <row r="1118" spans="1:27" ht="27.75" customHeight="1">
      <c r="A1118" s="1666"/>
      <c r="B1118" s="3041"/>
      <c r="C1118" s="2151" t="s">
        <v>1029</v>
      </c>
      <c r="D1118" s="2150" t="s">
        <v>790</v>
      </c>
      <c r="E1118" s="1749">
        <v>12750</v>
      </c>
      <c r="F1118" s="2126">
        <f t="shared" si="226"/>
        <v>11050</v>
      </c>
      <c r="G1118" s="1750">
        <f t="shared" si="224"/>
        <v>0.8666666666666667</v>
      </c>
      <c r="H1118" s="1635">
        <f t="shared" si="227"/>
        <v>11050</v>
      </c>
      <c r="T1118" s="1636">
        <v>11050</v>
      </c>
    </row>
    <row r="1119" spans="1:27" ht="29.25" customHeight="1">
      <c r="A1119" s="1666"/>
      <c r="B1119" s="3041"/>
      <c r="C1119" s="2151" t="s">
        <v>1030</v>
      </c>
      <c r="D1119" s="2150" t="s">
        <v>790</v>
      </c>
      <c r="E1119" s="1749">
        <v>2250</v>
      </c>
      <c r="F1119" s="2126">
        <f t="shared" si="226"/>
        <v>1950</v>
      </c>
      <c r="G1119" s="1750">
        <f t="shared" si="224"/>
        <v>0.8666666666666667</v>
      </c>
      <c r="H1119" s="1635">
        <f t="shared" si="227"/>
        <v>1950</v>
      </c>
      <c r="T1119" s="1636">
        <v>1950</v>
      </c>
    </row>
    <row r="1120" spans="1:27" ht="16.5" customHeight="1">
      <c r="A1120" s="1666"/>
      <c r="B1120" s="3041"/>
      <c r="C1120" s="2151" t="s">
        <v>894</v>
      </c>
      <c r="D1120" s="2150" t="s">
        <v>792</v>
      </c>
      <c r="E1120" s="1749">
        <v>19405</v>
      </c>
      <c r="F1120" s="2126">
        <f t="shared" si="226"/>
        <v>10212</v>
      </c>
      <c r="G1120" s="1750">
        <f t="shared" si="224"/>
        <v>0.52625611955681528</v>
      </c>
      <c r="H1120" s="1635">
        <f t="shared" si="227"/>
        <v>10212</v>
      </c>
      <c r="V1120" s="1636">
        <v>10212</v>
      </c>
    </row>
    <row r="1121" spans="1:24" ht="17.100000000000001" customHeight="1">
      <c r="A1121" s="1666"/>
      <c r="B1121" s="3041"/>
      <c r="C1121" s="2151" t="s">
        <v>849</v>
      </c>
      <c r="D1121" s="2150" t="s">
        <v>792</v>
      </c>
      <c r="E1121" s="1749">
        <f>6800+4250+4000</f>
        <v>15050</v>
      </c>
      <c r="F1121" s="2126">
        <f t="shared" si="226"/>
        <v>9413</v>
      </c>
      <c r="G1121" s="1750">
        <f t="shared" si="224"/>
        <v>0.62544850498338866</v>
      </c>
      <c r="H1121" s="1635">
        <f t="shared" si="227"/>
        <v>9413</v>
      </c>
      <c r="T1121" s="1636">
        <v>2550</v>
      </c>
      <c r="X1121" s="1636">
        <v>6863</v>
      </c>
    </row>
    <row r="1122" spans="1:24" ht="17.100000000000001" customHeight="1">
      <c r="A1122" s="1666"/>
      <c r="B1122" s="3041"/>
      <c r="C1122" s="2151" t="s">
        <v>850</v>
      </c>
      <c r="D1122" s="2150" t="s">
        <v>792</v>
      </c>
      <c r="E1122" s="1749">
        <f>3401+1700+750</f>
        <v>5851</v>
      </c>
      <c r="F1122" s="2126">
        <f t="shared" si="226"/>
        <v>3971</v>
      </c>
      <c r="G1122" s="1750">
        <f t="shared" si="224"/>
        <v>0.67868740386258763</v>
      </c>
      <c r="H1122" s="1635">
        <f t="shared" si="227"/>
        <v>3971</v>
      </c>
      <c r="T1122" s="1636">
        <v>450</v>
      </c>
      <c r="V1122" s="1636">
        <v>1802</v>
      </c>
      <c r="X1122" s="1636">
        <v>1719</v>
      </c>
    </row>
    <row r="1123" spans="1:24" ht="17.100000000000001" customHeight="1">
      <c r="A1123" s="1666"/>
      <c r="B1123" s="3041"/>
      <c r="C1123" s="2151" t="s">
        <v>954</v>
      </c>
      <c r="D1123" s="2150" t="s">
        <v>928</v>
      </c>
      <c r="E1123" s="1749">
        <f>2125+6000</f>
        <v>8125</v>
      </c>
      <c r="F1123" s="2126">
        <f t="shared" si="226"/>
        <v>2125</v>
      </c>
      <c r="G1123" s="1750">
        <f t="shared" si="224"/>
        <v>0.26153846153846155</v>
      </c>
      <c r="H1123" s="1635">
        <f t="shared" si="227"/>
        <v>2125</v>
      </c>
      <c r="X1123" s="1636">
        <v>2125</v>
      </c>
    </row>
    <row r="1124" spans="1:24" ht="17.100000000000001" customHeight="1">
      <c r="A1124" s="1666"/>
      <c r="B1124" s="3041"/>
      <c r="C1124" s="2151" t="s">
        <v>955</v>
      </c>
      <c r="D1124" s="2150" t="s">
        <v>928</v>
      </c>
      <c r="E1124" s="1749">
        <v>375</v>
      </c>
      <c r="F1124" s="2126">
        <f t="shared" si="226"/>
        <v>375</v>
      </c>
      <c r="G1124" s="1750">
        <f t="shared" si="224"/>
        <v>1</v>
      </c>
      <c r="H1124" s="1635">
        <f t="shared" si="227"/>
        <v>375</v>
      </c>
      <c r="X1124" s="1636">
        <v>375</v>
      </c>
    </row>
    <row r="1125" spans="1:24" ht="17.100000000000001" hidden="1" customHeight="1">
      <c r="A1125" s="1666"/>
      <c r="B1125" s="3041"/>
      <c r="C1125" s="2151" t="s">
        <v>1054</v>
      </c>
      <c r="D1125" s="2150" t="s">
        <v>794</v>
      </c>
      <c r="E1125" s="1749"/>
      <c r="F1125" s="2126">
        <f t="shared" si="226"/>
        <v>0</v>
      </c>
      <c r="G1125" s="1750" t="e">
        <f t="shared" ref="G1125:G1273" si="228">F1125/E1125</f>
        <v>#DIV/0!</v>
      </c>
      <c r="H1125" s="1635">
        <f t="shared" si="227"/>
        <v>0</v>
      </c>
    </row>
    <row r="1126" spans="1:24" ht="17.100000000000001" hidden="1" customHeight="1">
      <c r="A1126" s="1666"/>
      <c r="B1126" s="3041"/>
      <c r="C1126" s="2151" t="s">
        <v>852</v>
      </c>
      <c r="D1126" s="2150" t="s">
        <v>794</v>
      </c>
      <c r="E1126" s="1749"/>
      <c r="F1126" s="2126">
        <f t="shared" si="226"/>
        <v>0</v>
      </c>
      <c r="G1126" s="1750" t="e">
        <f t="shared" si="228"/>
        <v>#DIV/0!</v>
      </c>
      <c r="H1126" s="1635">
        <f t="shared" si="227"/>
        <v>0</v>
      </c>
    </row>
    <row r="1127" spans="1:24" ht="17.100000000000001" customHeight="1">
      <c r="A1127" s="1666"/>
      <c r="B1127" s="3041"/>
      <c r="C1127" s="2151" t="s">
        <v>1031</v>
      </c>
      <c r="D1127" s="2150" t="s">
        <v>802</v>
      </c>
      <c r="E1127" s="1749">
        <f>425+3000</f>
        <v>3425</v>
      </c>
      <c r="F1127" s="2126">
        <f t="shared" si="226"/>
        <v>425</v>
      </c>
      <c r="G1127" s="1750">
        <f t="shared" si="228"/>
        <v>0.12408759124087591</v>
      </c>
      <c r="H1127" s="1635">
        <f t="shared" si="227"/>
        <v>425</v>
      </c>
      <c r="T1127" s="1636">
        <v>425</v>
      </c>
    </row>
    <row r="1128" spans="1:24" ht="17.100000000000001" customHeight="1">
      <c r="A1128" s="1666"/>
      <c r="B1128" s="3041"/>
      <c r="C1128" s="2152" t="s">
        <v>1032</v>
      </c>
      <c r="D1128" s="2150" t="s">
        <v>802</v>
      </c>
      <c r="E1128" s="1749">
        <v>75</v>
      </c>
      <c r="F1128" s="2126">
        <f t="shared" si="226"/>
        <v>75</v>
      </c>
      <c r="G1128" s="1750">
        <f t="shared" si="228"/>
        <v>1</v>
      </c>
      <c r="H1128" s="1635">
        <f t="shared" si="227"/>
        <v>75</v>
      </c>
      <c r="T1128" s="1636">
        <v>75</v>
      </c>
    </row>
    <row r="1129" spans="1:24" ht="60.75" hidden="1" customHeight="1">
      <c r="A1129" s="1666"/>
      <c r="B1129" s="3041"/>
      <c r="C1129" s="2153" t="s">
        <v>881</v>
      </c>
      <c r="D1129" s="2154" t="s">
        <v>882</v>
      </c>
      <c r="E1129" s="1749">
        <f>4666+115</f>
        <v>4781</v>
      </c>
      <c r="F1129" s="2155">
        <f t="shared" si="226"/>
        <v>0</v>
      </c>
      <c r="G1129" s="1750">
        <f t="shared" si="228"/>
        <v>0</v>
      </c>
      <c r="H1129" s="1635">
        <f t="shared" si="227"/>
        <v>0</v>
      </c>
    </row>
    <row r="1130" spans="1:24" ht="21.75" hidden="1" customHeight="1">
      <c r="A1130" s="1666"/>
      <c r="B1130" s="3041"/>
      <c r="C1130" s="2156" t="s">
        <v>895</v>
      </c>
      <c r="D1130" s="2157" t="s">
        <v>806</v>
      </c>
      <c r="E1130" s="1749">
        <v>11598</v>
      </c>
      <c r="F1130" s="2158">
        <f t="shared" si="226"/>
        <v>0</v>
      </c>
      <c r="G1130" s="1750">
        <f t="shared" si="228"/>
        <v>0</v>
      </c>
      <c r="H1130" s="1635">
        <f t="shared" si="227"/>
        <v>0</v>
      </c>
    </row>
    <row r="1131" spans="1:24" ht="18" customHeight="1">
      <c r="A1131" s="1666"/>
      <c r="B1131" s="3041"/>
      <c r="C1131" s="2159" t="s">
        <v>853</v>
      </c>
      <c r="D1131" s="2160" t="s">
        <v>1037</v>
      </c>
      <c r="E1131" s="1749">
        <f>5950+22100+50000</f>
        <v>78050</v>
      </c>
      <c r="F1131" s="2161">
        <f t="shared" si="226"/>
        <v>20889</v>
      </c>
      <c r="G1131" s="1750">
        <f t="shared" si="228"/>
        <v>0.26763613068545805</v>
      </c>
      <c r="H1131" s="1635">
        <f t="shared" si="227"/>
        <v>20889</v>
      </c>
      <c r="T1131" s="1636">
        <v>17000</v>
      </c>
      <c r="X1131" s="1636">
        <v>3889</v>
      </c>
    </row>
    <row r="1132" spans="1:24" ht="18.75" customHeight="1">
      <c r="A1132" s="1683"/>
      <c r="B1132" s="3041"/>
      <c r="C1132" s="2162" t="s">
        <v>854</v>
      </c>
      <c r="D1132" s="2163" t="s">
        <v>1037</v>
      </c>
      <c r="E1132" s="1749">
        <f>702+1550+3900</f>
        <v>6152</v>
      </c>
      <c r="F1132" s="2161">
        <f t="shared" si="226"/>
        <v>4195</v>
      </c>
      <c r="G1132" s="2164">
        <f t="shared" si="228"/>
        <v>0.68189206762028609</v>
      </c>
      <c r="H1132" s="1635">
        <f t="shared" si="227"/>
        <v>4195</v>
      </c>
      <c r="T1132" s="1636">
        <v>3000</v>
      </c>
      <c r="X1132" s="1636">
        <v>1195</v>
      </c>
    </row>
    <row r="1133" spans="1:24" ht="17.100000000000001" customHeight="1">
      <c r="A1133" s="1683"/>
      <c r="B1133" s="3041"/>
      <c r="C1133" s="2162" t="s">
        <v>855</v>
      </c>
      <c r="D1133" s="2163" t="s">
        <v>769</v>
      </c>
      <c r="E1133" s="1749">
        <f>42+125+69+6309+3000</f>
        <v>9545</v>
      </c>
      <c r="F1133" s="2161">
        <f t="shared" si="226"/>
        <v>9783</v>
      </c>
      <c r="G1133" s="2164">
        <f t="shared" si="228"/>
        <v>1.0249345206914615</v>
      </c>
      <c r="H1133" s="1635">
        <f t="shared" si="227"/>
        <v>9783</v>
      </c>
      <c r="K1133" s="1636">
        <v>23</v>
      </c>
      <c r="T1133" s="1636">
        <v>9690</v>
      </c>
      <c r="V1133" s="1636">
        <v>14</v>
      </c>
      <c r="X1133" s="1636">
        <v>56</v>
      </c>
    </row>
    <row r="1134" spans="1:24" ht="17.100000000000001" customHeight="1">
      <c r="A1134" s="1683"/>
      <c r="B1134" s="3041"/>
      <c r="C1134" s="2162" t="s">
        <v>856</v>
      </c>
      <c r="D1134" s="2165" t="s">
        <v>769</v>
      </c>
      <c r="E1134" s="1749">
        <f>14+40+22+1114</f>
        <v>1190</v>
      </c>
      <c r="F1134" s="2161">
        <f t="shared" si="226"/>
        <v>1742</v>
      </c>
      <c r="G1134" s="2164">
        <f t="shared" si="228"/>
        <v>1.4638655462184873</v>
      </c>
      <c r="H1134" s="1635">
        <f t="shared" si="227"/>
        <v>1742</v>
      </c>
      <c r="K1134" s="1636">
        <v>8</v>
      </c>
      <c r="T1134" s="1636">
        <v>1710</v>
      </c>
      <c r="V1134" s="1636">
        <v>5</v>
      </c>
      <c r="X1134" s="1636">
        <v>19</v>
      </c>
    </row>
    <row r="1135" spans="1:24" ht="17.100000000000001" customHeight="1">
      <c r="A1135" s="1683"/>
      <c r="B1135" s="3041"/>
      <c r="C1135" s="2166"/>
      <c r="D1135" s="1819"/>
      <c r="E1135" s="2167"/>
      <c r="F1135" s="2168"/>
      <c r="G1135" s="2169"/>
      <c r="H1135" s="1635">
        <f t="shared" si="227"/>
        <v>0</v>
      </c>
    </row>
    <row r="1136" spans="1:24" ht="17.100000000000001" customHeight="1">
      <c r="A1136" s="1683"/>
      <c r="B1136" s="3041"/>
      <c r="C1136" s="3629" t="s">
        <v>810</v>
      </c>
      <c r="D1136" s="3629"/>
      <c r="E1136" s="2170">
        <f>E1137+E1155</f>
        <v>18799607</v>
      </c>
      <c r="F1136" s="2171">
        <f>F1137+F1155</f>
        <v>29159408</v>
      </c>
      <c r="G1136" s="1673">
        <f t="shared" si="228"/>
        <v>1.5510647642793809</v>
      </c>
      <c r="H1136" s="1635">
        <f t="shared" si="227"/>
        <v>0</v>
      </c>
    </row>
    <row r="1137" spans="1:27" ht="17.100000000000001" customHeight="1">
      <c r="A1137" s="1683"/>
      <c r="B1137" s="3041"/>
      <c r="C1137" s="3630" t="s">
        <v>811</v>
      </c>
      <c r="D1137" s="3631"/>
      <c r="E1137" s="2168">
        <f>SUM(E1138:E1153)</f>
        <v>18799607</v>
      </c>
      <c r="F1137" s="2168">
        <f>SUM(F1138:F1153)</f>
        <v>29159408</v>
      </c>
      <c r="G1137" s="2172">
        <f t="shared" si="228"/>
        <v>1.5510647642793809</v>
      </c>
      <c r="H1137" s="1635">
        <f t="shared" si="227"/>
        <v>0</v>
      </c>
    </row>
    <row r="1138" spans="1:27" ht="17.100000000000001" customHeight="1">
      <c r="A1138" s="1683"/>
      <c r="B1138" s="3041"/>
      <c r="C1138" s="2173" t="s">
        <v>821</v>
      </c>
      <c r="D1138" s="2174" t="s">
        <v>813</v>
      </c>
      <c r="E1138" s="2168">
        <f>250000+1275305</f>
        <v>1525305</v>
      </c>
      <c r="F1138" s="2168">
        <f>H1138</f>
        <v>1499035</v>
      </c>
      <c r="G1138" s="2172">
        <f t="shared" si="228"/>
        <v>0.98277721504879356</v>
      </c>
      <c r="H1138" s="1635">
        <f t="shared" si="227"/>
        <v>1499035</v>
      </c>
      <c r="I1138" s="1636">
        <v>275000</v>
      </c>
      <c r="AA1138" s="1637">
        <v>1224035</v>
      </c>
    </row>
    <row r="1139" spans="1:27" ht="17.100000000000001" customHeight="1">
      <c r="A1139" s="1683"/>
      <c r="B1139" s="3041"/>
      <c r="C1139" s="2173" t="s">
        <v>920</v>
      </c>
      <c r="D1139" s="2175" t="s">
        <v>813</v>
      </c>
      <c r="E1139" s="2168">
        <v>0</v>
      </c>
      <c r="F1139" s="2168">
        <f>H1139</f>
        <v>79501</v>
      </c>
      <c r="G1139" s="2172"/>
      <c r="H1139" s="1635">
        <f t="shared" si="227"/>
        <v>79501</v>
      </c>
      <c r="V1139" s="1636">
        <v>79501</v>
      </c>
    </row>
    <row r="1140" spans="1:27" ht="17.100000000000001" customHeight="1">
      <c r="A1140" s="1683"/>
      <c r="B1140" s="3041"/>
      <c r="C1140" s="2176" t="s">
        <v>932</v>
      </c>
      <c r="D1140" s="2174" t="s">
        <v>813</v>
      </c>
      <c r="E1140" s="2168">
        <f>12000000+951582</f>
        <v>12951582</v>
      </c>
      <c r="F1140" s="2168">
        <f t="shared" ref="F1140:F1153" si="229">H1140</f>
        <v>20836406</v>
      </c>
      <c r="G1140" s="2172">
        <f t="shared" si="228"/>
        <v>1.6087923467573304</v>
      </c>
      <c r="H1140" s="1635">
        <f t="shared" si="227"/>
        <v>20836406</v>
      </c>
      <c r="W1140" s="1636">
        <v>18054830</v>
      </c>
      <c r="AA1140" s="1637">
        <v>2781576</v>
      </c>
    </row>
    <row r="1141" spans="1:27" ht="17.100000000000001" customHeight="1">
      <c r="A1141" s="1683"/>
      <c r="B1141" s="3041"/>
      <c r="C1141" s="2176" t="s">
        <v>921</v>
      </c>
      <c r="D1141" s="2174" t="s">
        <v>813</v>
      </c>
      <c r="E1141" s="2168">
        <f>2117648+308262</f>
        <v>2425910</v>
      </c>
      <c r="F1141" s="2168">
        <f t="shared" si="229"/>
        <v>4092041</v>
      </c>
      <c r="G1141" s="2172">
        <f t="shared" si="228"/>
        <v>1.6868066004097431</v>
      </c>
      <c r="H1141" s="1635">
        <f t="shared" si="227"/>
        <v>4092041</v>
      </c>
      <c r="V1141" s="1636">
        <v>4815</v>
      </c>
      <c r="W1141" s="1636">
        <v>3186145</v>
      </c>
      <c r="AA1141" s="1637">
        <v>901081</v>
      </c>
    </row>
    <row r="1142" spans="1:27" ht="17.100000000000001" hidden="1" customHeight="1">
      <c r="A1142" s="1683"/>
      <c r="B1142" s="3041"/>
      <c r="C1142" s="2173" t="s">
        <v>897</v>
      </c>
      <c r="D1142" s="2174" t="s">
        <v>861</v>
      </c>
      <c r="E1142" s="2168">
        <v>91498</v>
      </c>
      <c r="F1142" s="2168">
        <f t="shared" si="229"/>
        <v>0</v>
      </c>
      <c r="G1142" s="2172">
        <f t="shared" si="228"/>
        <v>0</v>
      </c>
      <c r="H1142" s="1635">
        <f t="shared" si="227"/>
        <v>0</v>
      </c>
    </row>
    <row r="1143" spans="1:27" ht="17.100000000000001" hidden="1" customHeight="1">
      <c r="A1143" s="1683"/>
      <c r="B1143" s="3041"/>
      <c r="C1143" s="2173" t="s">
        <v>933</v>
      </c>
      <c r="D1143" s="2174" t="s">
        <v>861</v>
      </c>
      <c r="E1143" s="2168"/>
      <c r="F1143" s="2168">
        <f t="shared" si="229"/>
        <v>0</v>
      </c>
      <c r="G1143" s="2172" t="e">
        <f t="shared" si="228"/>
        <v>#DIV/0!</v>
      </c>
      <c r="H1143" s="1635">
        <f t="shared" si="227"/>
        <v>0</v>
      </c>
    </row>
    <row r="1144" spans="1:27" ht="17.100000000000001" hidden="1" customHeight="1">
      <c r="A1144" s="1683"/>
      <c r="B1144" s="2079"/>
      <c r="C1144" s="2177" t="s">
        <v>918</v>
      </c>
      <c r="D1144" s="2178" t="s">
        <v>861</v>
      </c>
      <c r="E1144" s="2161">
        <v>5541</v>
      </c>
      <c r="F1144" s="2161">
        <f t="shared" si="229"/>
        <v>0</v>
      </c>
      <c r="G1144" s="2179">
        <f t="shared" si="228"/>
        <v>0</v>
      </c>
      <c r="H1144" s="1635">
        <f t="shared" si="227"/>
        <v>0</v>
      </c>
    </row>
    <row r="1145" spans="1:27" ht="51" customHeight="1" thickBot="1">
      <c r="A1145" s="2766"/>
      <c r="B1145" s="3181"/>
      <c r="C1145" s="2270" t="s">
        <v>898</v>
      </c>
      <c r="D1145" s="2271" t="s">
        <v>905</v>
      </c>
      <c r="E1145" s="3202">
        <v>122151</v>
      </c>
      <c r="F1145" s="3084">
        <f t="shared" si="229"/>
        <v>79501</v>
      </c>
      <c r="G1145" s="1750">
        <f t="shared" si="228"/>
        <v>0.65084199065091564</v>
      </c>
      <c r="H1145" s="1635">
        <f t="shared" si="227"/>
        <v>79501</v>
      </c>
      <c r="V1145" s="1636">
        <v>79501</v>
      </c>
    </row>
    <row r="1146" spans="1:27" ht="46.5" customHeight="1">
      <c r="A1146" s="2736"/>
      <c r="B1146" s="3203"/>
      <c r="C1146" s="3206" t="s">
        <v>419</v>
      </c>
      <c r="D1146" s="3204" t="s">
        <v>905</v>
      </c>
      <c r="E1146" s="3205">
        <v>119925</v>
      </c>
      <c r="F1146" s="3205">
        <f t="shared" si="229"/>
        <v>350550</v>
      </c>
      <c r="G1146" s="1750">
        <f t="shared" si="228"/>
        <v>2.9230769230769229</v>
      </c>
      <c r="H1146" s="1635">
        <f t="shared" si="227"/>
        <v>350550</v>
      </c>
      <c r="AA1146" s="1637">
        <v>350550</v>
      </c>
    </row>
    <row r="1147" spans="1:27" ht="48" customHeight="1">
      <c r="A1147" s="1683"/>
      <c r="B1147" s="2079"/>
      <c r="C1147" s="3076" t="s">
        <v>900</v>
      </c>
      <c r="D1147" s="3077" t="s">
        <v>905</v>
      </c>
      <c r="E1147" s="3083">
        <f>7397+21163</f>
        <v>28560</v>
      </c>
      <c r="F1147" s="3083">
        <f t="shared" si="229"/>
        <v>66677</v>
      </c>
      <c r="G1147" s="2182">
        <f t="shared" si="228"/>
        <v>2.3346288515406162</v>
      </c>
      <c r="H1147" s="1635">
        <f t="shared" si="227"/>
        <v>66677</v>
      </c>
      <c r="V1147" s="1636">
        <v>4815</v>
      </c>
      <c r="AA1147" s="1637">
        <v>61862</v>
      </c>
    </row>
    <row r="1148" spans="1:27" ht="53.25" customHeight="1">
      <c r="A1148" s="1683"/>
      <c r="B1148" s="2079"/>
      <c r="C1148" s="2181" t="s">
        <v>423</v>
      </c>
      <c r="D1148" s="2183" t="s">
        <v>902</v>
      </c>
      <c r="E1148" s="2155">
        <v>586526</v>
      </c>
      <c r="F1148" s="2155">
        <f t="shared" si="229"/>
        <v>1033512</v>
      </c>
      <c r="G1148" s="2182">
        <f t="shared" si="228"/>
        <v>1.7620906831069723</v>
      </c>
      <c r="H1148" s="1635">
        <f t="shared" si="227"/>
        <v>1033512</v>
      </c>
      <c r="V1148" s="1636">
        <v>1033512</v>
      </c>
    </row>
    <row r="1149" spans="1:27" ht="53.25" customHeight="1">
      <c r="A1149" s="1683"/>
      <c r="B1149" s="2079"/>
      <c r="C1149" s="2184" t="s">
        <v>901</v>
      </c>
      <c r="D1149" s="2185" t="s">
        <v>902</v>
      </c>
      <c r="E1149" s="2126">
        <f>35519+845446</f>
        <v>880965</v>
      </c>
      <c r="F1149" s="2126">
        <f t="shared" si="229"/>
        <v>1122185</v>
      </c>
      <c r="G1149" s="2130">
        <f t="shared" si="228"/>
        <v>1.2738133751057079</v>
      </c>
      <c r="H1149" s="1635">
        <f t="shared" si="227"/>
        <v>1122185</v>
      </c>
      <c r="V1149" s="1636">
        <v>62587</v>
      </c>
      <c r="W1149" s="1636">
        <v>1059598</v>
      </c>
    </row>
    <row r="1150" spans="1:27" ht="38.25" hidden="1" customHeight="1">
      <c r="A1150" s="1683"/>
      <c r="B1150" s="2079"/>
      <c r="C1150" s="2184" t="s">
        <v>1008</v>
      </c>
      <c r="D1150" s="2150" t="s">
        <v>1009</v>
      </c>
      <c r="E1150" s="2116"/>
      <c r="F1150" s="2116">
        <f t="shared" si="229"/>
        <v>0</v>
      </c>
      <c r="G1150" s="2117"/>
      <c r="H1150" s="1635">
        <f t="shared" si="227"/>
        <v>0</v>
      </c>
    </row>
    <row r="1151" spans="1:27" ht="51" hidden="1" customHeight="1">
      <c r="A1151" s="1683"/>
      <c r="B1151" s="2079"/>
      <c r="C1151" s="2186" t="s">
        <v>903</v>
      </c>
      <c r="D1151" s="1819" t="s">
        <v>822</v>
      </c>
      <c r="E1151" s="2039"/>
      <c r="F1151" s="2039">
        <f t="shared" si="229"/>
        <v>0</v>
      </c>
      <c r="G1151" s="1905" t="e">
        <f t="shared" si="228"/>
        <v>#DIV/0!</v>
      </c>
      <c r="H1151" s="1635">
        <f t="shared" si="227"/>
        <v>0</v>
      </c>
    </row>
    <row r="1152" spans="1:27" ht="25.5" hidden="1" customHeight="1">
      <c r="A1152" s="1683"/>
      <c r="B1152" s="2079"/>
      <c r="C1152" s="2187" t="s">
        <v>1055</v>
      </c>
      <c r="D1152" s="2188" t="s">
        <v>1010</v>
      </c>
      <c r="E1152" s="2039">
        <v>3001</v>
      </c>
      <c r="F1152" s="2039">
        <f t="shared" si="229"/>
        <v>0</v>
      </c>
      <c r="G1152" s="1905">
        <f t="shared" si="228"/>
        <v>0</v>
      </c>
      <c r="H1152" s="1635">
        <f t="shared" si="227"/>
        <v>0</v>
      </c>
    </row>
    <row r="1153" spans="1:27" ht="24.75" hidden="1" customHeight="1">
      <c r="A1153" s="1683"/>
      <c r="B1153" s="2079"/>
      <c r="C1153" s="2187" t="s">
        <v>594</v>
      </c>
      <c r="D1153" s="2189" t="s">
        <v>1010</v>
      </c>
      <c r="E1153" s="2038">
        <v>58643</v>
      </c>
      <c r="F1153" s="2039">
        <f t="shared" si="229"/>
        <v>0</v>
      </c>
      <c r="G1153" s="1905">
        <f t="shared" si="228"/>
        <v>0</v>
      </c>
      <c r="H1153" s="1635">
        <f t="shared" si="227"/>
        <v>0</v>
      </c>
    </row>
    <row r="1154" spans="1:27" ht="15" hidden="1" customHeight="1">
      <c r="A1154" s="1683"/>
      <c r="B1154" s="2079"/>
      <c r="C1154" s="3632"/>
      <c r="D1154" s="3632"/>
      <c r="E1154" s="2039"/>
      <c r="F1154" s="2039"/>
      <c r="G1154" s="1905"/>
      <c r="H1154" s="1635">
        <f t="shared" si="227"/>
        <v>0</v>
      </c>
    </row>
    <row r="1155" spans="1:27" ht="15" hidden="1" customHeight="1">
      <c r="A1155" s="1683"/>
      <c r="B1155" s="2079"/>
      <c r="C1155" s="3633" t="s">
        <v>945</v>
      </c>
      <c r="D1155" s="3633"/>
      <c r="E1155" s="2039">
        <f>E1156</f>
        <v>0</v>
      </c>
      <c r="F1155" s="2039">
        <f t="shared" ref="F1155" si="230">F1156</f>
        <v>0</v>
      </c>
      <c r="G1155" s="1905" t="e">
        <f t="shared" si="228"/>
        <v>#DIV/0!</v>
      </c>
      <c r="H1155" s="1635">
        <f t="shared" si="227"/>
        <v>0</v>
      </c>
    </row>
    <row r="1156" spans="1:27" ht="38.25" hidden="1" customHeight="1">
      <c r="A1156" s="1683"/>
      <c r="B1156" s="2079"/>
      <c r="C1156" s="2190" t="s">
        <v>946</v>
      </c>
      <c r="D1156" s="2188" t="s">
        <v>947</v>
      </c>
      <c r="E1156" s="2039"/>
      <c r="F1156" s="2039">
        <f>H1156</f>
        <v>0</v>
      </c>
      <c r="G1156" s="1905" t="e">
        <f t="shared" si="228"/>
        <v>#DIV/0!</v>
      </c>
      <c r="H1156" s="1635">
        <f t="shared" si="227"/>
        <v>0</v>
      </c>
    </row>
    <row r="1157" spans="1:27" ht="18" customHeight="1">
      <c r="A1157" s="1683"/>
      <c r="B1157" s="2079"/>
      <c r="C1157" s="1960"/>
      <c r="D1157" s="1961"/>
      <c r="E1157" s="1688"/>
      <c r="F1157" s="2039"/>
      <c r="G1157" s="1689"/>
      <c r="H1157" s="1635">
        <f t="shared" si="227"/>
        <v>0</v>
      </c>
    </row>
    <row r="1158" spans="1:27" ht="21" customHeight="1">
      <c r="A1158" s="1683"/>
      <c r="B1158" s="2079"/>
      <c r="C1158" s="3634" t="s">
        <v>823</v>
      </c>
      <c r="D1158" s="3635"/>
      <c r="E1158" s="1906">
        <f>SUM(E1159:E1172)</f>
        <v>17645518</v>
      </c>
      <c r="F1158" s="2039">
        <f>SUM(F1159:F1172)</f>
        <v>27824810</v>
      </c>
      <c r="G1158" s="1907">
        <f t="shared" si="228"/>
        <v>1.5768769157131006</v>
      </c>
      <c r="H1158" s="1635">
        <f t="shared" si="227"/>
        <v>0</v>
      </c>
    </row>
    <row r="1159" spans="1:27" ht="21" customHeight="1">
      <c r="A1159" s="1666"/>
      <c r="B1159" s="2079"/>
      <c r="C1159" s="2191" t="s">
        <v>821</v>
      </c>
      <c r="D1159" s="2192" t="s">
        <v>813</v>
      </c>
      <c r="E1159" s="1906">
        <v>1275305</v>
      </c>
      <c r="F1159" s="2039">
        <f>H1159</f>
        <v>1224035</v>
      </c>
      <c r="G1159" s="1907">
        <f t="shared" si="228"/>
        <v>0.95979785227847458</v>
      </c>
      <c r="H1159" s="1635">
        <f t="shared" si="227"/>
        <v>1224035</v>
      </c>
      <c r="AA1159" s="1637">
        <v>1224035</v>
      </c>
    </row>
    <row r="1160" spans="1:27" ht="21" customHeight="1">
      <c r="A1160" s="1666"/>
      <c r="B1160" s="2079"/>
      <c r="C1160" s="2184" t="s">
        <v>920</v>
      </c>
      <c r="D1160" s="2193" t="s">
        <v>813</v>
      </c>
      <c r="E1160" s="2194">
        <v>0</v>
      </c>
      <c r="F1160" s="2180">
        <f>H1160</f>
        <v>79501</v>
      </c>
      <c r="G1160" s="2195"/>
      <c r="H1160" s="1635">
        <f t="shared" si="227"/>
        <v>79501</v>
      </c>
      <c r="V1160" s="2047">
        <v>79501</v>
      </c>
    </row>
    <row r="1161" spans="1:27" ht="17.100000000000001" customHeight="1">
      <c r="A1161" s="1666"/>
      <c r="B1161" s="2079"/>
      <c r="C1161" s="2191" t="s">
        <v>932</v>
      </c>
      <c r="D1161" s="2196" t="s">
        <v>813</v>
      </c>
      <c r="E1161" s="2197">
        <f>12000000+951582</f>
        <v>12951582</v>
      </c>
      <c r="F1161" s="2180">
        <f t="shared" ref="F1161:F1172" si="231">H1161</f>
        <v>20836406</v>
      </c>
      <c r="G1161" s="2195">
        <f t="shared" si="228"/>
        <v>1.6087923467573304</v>
      </c>
      <c r="H1161" s="1635">
        <f t="shared" si="227"/>
        <v>20836406</v>
      </c>
      <c r="W1161" s="2047">
        <v>18054830</v>
      </c>
      <c r="AA1161" s="1637">
        <v>2781576</v>
      </c>
    </row>
    <row r="1162" spans="1:27" ht="17.100000000000001" customHeight="1">
      <c r="A1162" s="1666"/>
      <c r="B1162" s="2079"/>
      <c r="C1162" s="2191" t="s">
        <v>921</v>
      </c>
      <c r="D1162" s="2196" t="s">
        <v>813</v>
      </c>
      <c r="E1162" s="2197">
        <f>2117648+308262</f>
        <v>2425910</v>
      </c>
      <c r="F1162" s="2180">
        <f t="shared" si="231"/>
        <v>4092041</v>
      </c>
      <c r="G1162" s="2195">
        <f t="shared" si="228"/>
        <v>1.6868066004097431</v>
      </c>
      <c r="H1162" s="1635">
        <f t="shared" ref="H1162:H1226" si="232">SUM(I1162:AE1162)</f>
        <v>4092041</v>
      </c>
      <c r="V1162" s="2047">
        <v>4815</v>
      </c>
      <c r="W1162" s="2047">
        <v>3186145</v>
      </c>
      <c r="AA1162" s="1637">
        <v>901081</v>
      </c>
    </row>
    <row r="1163" spans="1:27" ht="17.100000000000001" hidden="1" customHeight="1">
      <c r="A1163" s="1666"/>
      <c r="B1163" s="2079"/>
      <c r="C1163" s="2198" t="s">
        <v>897</v>
      </c>
      <c r="D1163" s="1720" t="s">
        <v>861</v>
      </c>
      <c r="E1163" s="1833">
        <v>91498</v>
      </c>
      <c r="F1163" s="2180">
        <f t="shared" si="231"/>
        <v>0</v>
      </c>
      <c r="G1163" s="2199">
        <f t="shared" si="228"/>
        <v>0</v>
      </c>
      <c r="H1163" s="1635">
        <f t="shared" si="232"/>
        <v>0</v>
      </c>
    </row>
    <row r="1164" spans="1:27" ht="17.100000000000001" hidden="1" customHeight="1">
      <c r="A1164" s="1666"/>
      <c r="B1164" s="2079"/>
      <c r="C1164" s="2200" t="s">
        <v>933</v>
      </c>
      <c r="D1164" s="2146" t="s">
        <v>861</v>
      </c>
      <c r="E1164" s="2180"/>
      <c r="F1164" s="2180">
        <f t="shared" si="231"/>
        <v>0</v>
      </c>
      <c r="G1164" s="2199" t="e">
        <f t="shared" si="228"/>
        <v>#DIV/0!</v>
      </c>
      <c r="H1164" s="1635">
        <f t="shared" si="232"/>
        <v>0</v>
      </c>
    </row>
    <row r="1165" spans="1:27" ht="17.100000000000001" hidden="1" customHeight="1">
      <c r="A1165" s="1666"/>
      <c r="B1165" s="2079"/>
      <c r="C1165" s="2201" t="s">
        <v>918</v>
      </c>
      <c r="D1165" s="2146" t="s">
        <v>861</v>
      </c>
      <c r="E1165" s="2038">
        <v>5541</v>
      </c>
      <c r="F1165" s="2180">
        <f t="shared" si="231"/>
        <v>0</v>
      </c>
      <c r="G1165" s="2199">
        <f t="shared" si="228"/>
        <v>0</v>
      </c>
      <c r="H1165" s="1635">
        <f t="shared" si="232"/>
        <v>0</v>
      </c>
    </row>
    <row r="1166" spans="1:27" ht="56.25" customHeight="1">
      <c r="A1166" s="1666"/>
      <c r="B1166" s="2079"/>
      <c r="C1166" s="2200" t="s">
        <v>898</v>
      </c>
      <c r="D1166" s="1703" t="s">
        <v>905</v>
      </c>
      <c r="E1166" s="2038">
        <v>122151</v>
      </c>
      <c r="F1166" s="2180">
        <f t="shared" si="231"/>
        <v>79501</v>
      </c>
      <c r="G1166" s="2199">
        <f t="shared" si="228"/>
        <v>0.65084199065091564</v>
      </c>
      <c r="H1166" s="1635">
        <f t="shared" si="232"/>
        <v>79501</v>
      </c>
      <c r="V1166" s="2047">
        <v>79501</v>
      </c>
    </row>
    <row r="1167" spans="1:27" ht="52.5" customHeight="1">
      <c r="A1167" s="1666"/>
      <c r="B1167" s="2079"/>
      <c r="C1167" s="2200" t="s">
        <v>419</v>
      </c>
      <c r="D1167" s="1703" t="s">
        <v>905</v>
      </c>
      <c r="E1167" s="2044">
        <v>119925</v>
      </c>
      <c r="F1167" s="2180">
        <f t="shared" si="231"/>
        <v>350550</v>
      </c>
      <c r="G1167" s="2199">
        <f t="shared" si="228"/>
        <v>2.9230769230769229</v>
      </c>
      <c r="H1167" s="1635">
        <f t="shared" si="232"/>
        <v>350550</v>
      </c>
      <c r="V1167" s="1632"/>
      <c r="AA1167" s="1637">
        <v>350550</v>
      </c>
    </row>
    <row r="1168" spans="1:27" ht="51.75" customHeight="1">
      <c r="A1168" s="1666"/>
      <c r="B1168" s="2079"/>
      <c r="C1168" s="2184" t="s">
        <v>900</v>
      </c>
      <c r="D1168" s="2202" t="s">
        <v>905</v>
      </c>
      <c r="E1168" s="2039">
        <f>7397+21163</f>
        <v>28560</v>
      </c>
      <c r="F1168" s="2039">
        <f t="shared" si="231"/>
        <v>66677</v>
      </c>
      <c r="G1168" s="1905">
        <f t="shared" si="228"/>
        <v>2.3346288515406162</v>
      </c>
      <c r="H1168" s="1635">
        <f t="shared" si="232"/>
        <v>66677</v>
      </c>
      <c r="V1168" s="2047">
        <v>4815</v>
      </c>
      <c r="AA1168" s="1637">
        <v>61862</v>
      </c>
    </row>
    <row r="1169" spans="1:22" ht="57.75" customHeight="1">
      <c r="A1169" s="1666"/>
      <c r="B1169" s="2079"/>
      <c r="C1169" s="2184" t="s">
        <v>423</v>
      </c>
      <c r="D1169" s="1770" t="s">
        <v>902</v>
      </c>
      <c r="E1169" s="2044">
        <v>586526</v>
      </c>
      <c r="F1169" s="2180">
        <f t="shared" si="231"/>
        <v>1033512</v>
      </c>
      <c r="G1169" s="2199">
        <f t="shared" si="228"/>
        <v>1.7620906831069723</v>
      </c>
      <c r="H1169" s="1635">
        <f t="shared" si="232"/>
        <v>1033512</v>
      </c>
      <c r="V1169" s="2047">
        <v>1033512</v>
      </c>
    </row>
    <row r="1170" spans="1:22" ht="51" customHeight="1" thickBot="1">
      <c r="A1170" s="1666"/>
      <c r="B1170" s="2079"/>
      <c r="C1170" s="2184" t="s">
        <v>901</v>
      </c>
      <c r="D1170" s="2183" t="s">
        <v>902</v>
      </c>
      <c r="E1170" s="2039">
        <v>35519</v>
      </c>
      <c r="F1170" s="2039">
        <f t="shared" si="231"/>
        <v>62587</v>
      </c>
      <c r="G1170" s="1905">
        <f t="shared" si="228"/>
        <v>1.7620710042512457</v>
      </c>
      <c r="H1170" s="1635">
        <f t="shared" si="232"/>
        <v>62587</v>
      </c>
      <c r="V1170" s="2047">
        <v>62587</v>
      </c>
    </row>
    <row r="1171" spans="1:22" ht="54" hidden="1" customHeight="1">
      <c r="A1171" s="1666"/>
      <c r="B1171" s="2079"/>
      <c r="C1171" s="1795" t="s">
        <v>903</v>
      </c>
      <c r="D1171" s="1847" t="s">
        <v>822</v>
      </c>
      <c r="E1171" s="2038"/>
      <c r="F1171" s="2180">
        <f t="shared" si="231"/>
        <v>0</v>
      </c>
      <c r="G1171" s="2199" t="e">
        <f t="shared" si="228"/>
        <v>#DIV/0!</v>
      </c>
      <c r="H1171" s="1635">
        <f t="shared" si="232"/>
        <v>0</v>
      </c>
    </row>
    <row r="1172" spans="1:22" ht="30.75" hidden="1" customHeight="1" thickBot="1">
      <c r="A1172" s="1666"/>
      <c r="B1172" s="3040"/>
      <c r="C1172" s="3042" t="s">
        <v>1055</v>
      </c>
      <c r="D1172" s="3043" t="s">
        <v>1010</v>
      </c>
      <c r="E1172" s="2044">
        <v>3001</v>
      </c>
      <c r="F1172" s="3044">
        <f t="shared" si="231"/>
        <v>0</v>
      </c>
      <c r="G1172" s="2199">
        <f t="shared" si="228"/>
        <v>0</v>
      </c>
      <c r="H1172" s="1635">
        <f t="shared" si="232"/>
        <v>0</v>
      </c>
    </row>
    <row r="1173" spans="1:22" ht="22.5" customHeight="1" thickBot="1">
      <c r="A1173" s="1660" t="s">
        <v>77</v>
      </c>
      <c r="B1173" s="1765"/>
      <c r="C1173" s="1772"/>
      <c r="D1173" s="1767" t="s">
        <v>1056</v>
      </c>
      <c r="E1173" s="1768">
        <f t="shared" ref="E1173:F1176" si="233">E1174</f>
        <v>0</v>
      </c>
      <c r="F1173" s="1768">
        <f t="shared" si="233"/>
        <v>5000</v>
      </c>
      <c r="G1173" s="2204"/>
      <c r="H1173" s="1635">
        <f t="shared" si="232"/>
        <v>0</v>
      </c>
    </row>
    <row r="1174" spans="1:22" ht="14.25" customHeight="1" thickBot="1">
      <c r="A1174" s="1666"/>
      <c r="B1174" s="1734" t="s">
        <v>78</v>
      </c>
      <c r="C1174" s="1735"/>
      <c r="D1174" s="1736" t="s">
        <v>79</v>
      </c>
      <c r="E1174" s="1737">
        <f t="shared" si="233"/>
        <v>0</v>
      </c>
      <c r="F1174" s="1737">
        <f t="shared" si="233"/>
        <v>5000</v>
      </c>
      <c r="G1174" s="2205"/>
      <c r="H1174" s="1635">
        <f t="shared" si="232"/>
        <v>0</v>
      </c>
    </row>
    <row r="1175" spans="1:22" ht="15" customHeight="1">
      <c r="A1175" s="1666"/>
      <c r="B1175" s="2079"/>
      <c r="C1175" s="3472" t="s">
        <v>755</v>
      </c>
      <c r="D1175" s="3472"/>
      <c r="E1175" s="2206">
        <f t="shared" si="233"/>
        <v>0</v>
      </c>
      <c r="F1175" s="2206">
        <f t="shared" si="233"/>
        <v>5000</v>
      </c>
      <c r="G1175" s="2207"/>
      <c r="H1175" s="1635">
        <f t="shared" si="232"/>
        <v>0</v>
      </c>
    </row>
    <row r="1176" spans="1:22" ht="17.25" customHeight="1">
      <c r="A1176" s="1666"/>
      <c r="B1176" s="2079"/>
      <c r="C1176" s="3651" t="s">
        <v>756</v>
      </c>
      <c r="D1176" s="3651"/>
      <c r="E1176" s="2039">
        <f t="shared" si="233"/>
        <v>0</v>
      </c>
      <c r="F1176" s="2039">
        <f t="shared" si="233"/>
        <v>5000</v>
      </c>
      <c r="G1176" s="2208"/>
      <c r="H1176" s="1635">
        <f t="shared" si="232"/>
        <v>0</v>
      </c>
    </row>
    <row r="1177" spans="1:22" ht="17.25" customHeight="1">
      <c r="A1177" s="1666"/>
      <c r="B1177" s="2079"/>
      <c r="C1177" s="3652" t="s">
        <v>770</v>
      </c>
      <c r="D1177" s="3652"/>
      <c r="E1177" s="2039">
        <f>E1178+E1179</f>
        <v>0</v>
      </c>
      <c r="F1177" s="2039">
        <f>F1178+F1179</f>
        <v>5000</v>
      </c>
      <c r="G1177" s="1905"/>
      <c r="H1177" s="1635">
        <f t="shared" si="232"/>
        <v>0</v>
      </c>
    </row>
    <row r="1178" spans="1:22" ht="18" customHeight="1">
      <c r="A1178" s="1666"/>
      <c r="B1178" s="2079"/>
      <c r="C1178" s="2184" t="s">
        <v>773</v>
      </c>
      <c r="D1178" s="2146" t="s">
        <v>774</v>
      </c>
      <c r="E1178" s="2039">
        <v>0</v>
      </c>
      <c r="F1178" s="2039">
        <f>H1178</f>
        <v>2000</v>
      </c>
      <c r="G1178" s="2208"/>
      <c r="H1178" s="1635">
        <f t="shared" si="232"/>
        <v>2000</v>
      </c>
      <c r="I1178" s="1636">
        <v>2000</v>
      </c>
    </row>
    <row r="1179" spans="1:22" ht="18" customHeight="1" thickBot="1">
      <c r="A1179" s="1666"/>
      <c r="B1179" s="2079"/>
      <c r="C1179" s="2184" t="s">
        <v>783</v>
      </c>
      <c r="D1179" s="2146" t="s">
        <v>784</v>
      </c>
      <c r="E1179" s="2044">
        <v>0</v>
      </c>
      <c r="F1179" s="2039">
        <f>H1179</f>
        <v>3000</v>
      </c>
      <c r="G1179" s="1695"/>
      <c r="H1179" s="1635">
        <f t="shared" si="232"/>
        <v>3000</v>
      </c>
      <c r="I1179" s="1636">
        <v>3000</v>
      </c>
    </row>
    <row r="1180" spans="1:22" ht="17.100000000000001" customHeight="1" thickBot="1">
      <c r="A1180" s="1660" t="s">
        <v>212</v>
      </c>
      <c r="B1180" s="1661"/>
      <c r="C1180" s="1662"/>
      <c r="D1180" s="1663" t="s">
        <v>1057</v>
      </c>
      <c r="E1180" s="1664">
        <f>E1181+E1188+E1196+E1208+E1200+E1215+E1227</f>
        <v>1692000</v>
      </c>
      <c r="F1180" s="1664">
        <f>F1181+F1188+F1196+F1208+F1200+F1215</f>
        <v>1711000</v>
      </c>
      <c r="G1180" s="1665">
        <f t="shared" si="228"/>
        <v>1.0112293144208038</v>
      </c>
      <c r="H1180" s="1635">
        <f t="shared" si="232"/>
        <v>0</v>
      </c>
    </row>
    <row r="1181" spans="1:22" ht="13.5" thickBot="1">
      <c r="A1181" s="1666"/>
      <c r="B1181" s="1734" t="s">
        <v>213</v>
      </c>
      <c r="C1181" s="1735"/>
      <c r="D1181" s="1736" t="s">
        <v>1058</v>
      </c>
      <c r="E1181" s="1737">
        <f>E1182+E1185</f>
        <v>450000</v>
      </c>
      <c r="F1181" s="1737">
        <f>F1182+F1185</f>
        <v>385000</v>
      </c>
      <c r="G1181" s="1738">
        <f t="shared" si="228"/>
        <v>0.85555555555555551</v>
      </c>
      <c r="H1181" s="1635">
        <f t="shared" si="232"/>
        <v>0</v>
      </c>
    </row>
    <row r="1182" spans="1:22" ht="16.5" hidden="1" customHeight="1">
      <c r="A1182" s="1666"/>
      <c r="B1182" s="1867"/>
      <c r="C1182" s="3472" t="s">
        <v>755</v>
      </c>
      <c r="D1182" s="3472"/>
      <c r="E1182" s="2209">
        <f>E1183</f>
        <v>100000</v>
      </c>
      <c r="F1182" s="2209">
        <f>F1183</f>
        <v>0</v>
      </c>
      <c r="G1182" s="1673">
        <f t="shared" si="228"/>
        <v>0</v>
      </c>
      <c r="H1182" s="1635">
        <f t="shared" si="232"/>
        <v>0</v>
      </c>
    </row>
    <row r="1183" spans="1:22" ht="20.25" hidden="1" customHeight="1">
      <c r="A1183" s="1666"/>
      <c r="B1183" s="1867"/>
      <c r="C1183" s="3653" t="s">
        <v>857</v>
      </c>
      <c r="D1183" s="3654"/>
      <c r="E1183" s="2210">
        <f>E1184</f>
        <v>100000</v>
      </c>
      <c r="F1183" s="2210">
        <v>0</v>
      </c>
      <c r="G1183" s="1750">
        <f t="shared" si="228"/>
        <v>0</v>
      </c>
      <c r="H1183" s="1635">
        <f t="shared" si="232"/>
        <v>0</v>
      </c>
    </row>
    <row r="1184" spans="1:22" ht="15.75" hidden="1" customHeight="1">
      <c r="A1184" s="1666"/>
      <c r="B1184" s="1867"/>
      <c r="C1184" s="2211" t="s">
        <v>1059</v>
      </c>
      <c r="D1184" s="2212" t="s">
        <v>1060</v>
      </c>
      <c r="E1184" s="2210">
        <v>100000</v>
      </c>
      <c r="F1184" s="2210">
        <f>H1184</f>
        <v>0</v>
      </c>
      <c r="G1184" s="1750">
        <f t="shared" si="228"/>
        <v>0</v>
      </c>
      <c r="H1184" s="1635">
        <f t="shared" si="232"/>
        <v>0</v>
      </c>
    </row>
    <row r="1185" spans="1:9" ht="17.100000000000001" customHeight="1">
      <c r="A1185" s="1666"/>
      <c r="B1185" s="3477"/>
      <c r="C1185" s="3497" t="s">
        <v>810</v>
      </c>
      <c r="D1185" s="3655"/>
      <c r="E1185" s="1672">
        <f t="shared" ref="E1185:F1186" si="234">E1186</f>
        <v>350000</v>
      </c>
      <c r="F1185" s="1672">
        <f t="shared" si="234"/>
        <v>385000</v>
      </c>
      <c r="G1185" s="1673">
        <f t="shared" si="228"/>
        <v>1.1000000000000001</v>
      </c>
      <c r="H1185" s="1635">
        <f t="shared" si="232"/>
        <v>0</v>
      </c>
    </row>
    <row r="1186" spans="1:9" ht="17.100000000000001" customHeight="1">
      <c r="A1186" s="1666"/>
      <c r="B1186" s="3477"/>
      <c r="C1186" s="3656" t="s">
        <v>811</v>
      </c>
      <c r="D1186" s="3657"/>
      <c r="E1186" s="1904">
        <f t="shared" si="234"/>
        <v>350000</v>
      </c>
      <c r="F1186" s="1904">
        <f t="shared" si="234"/>
        <v>385000</v>
      </c>
      <c r="G1186" s="1905">
        <f t="shared" si="228"/>
        <v>1.1000000000000001</v>
      </c>
      <c r="H1186" s="1635">
        <f t="shared" si="232"/>
        <v>0</v>
      </c>
    </row>
    <row r="1187" spans="1:9" ht="29.25" customHeight="1" thickBot="1">
      <c r="A1187" s="1666"/>
      <c r="B1187" s="3477"/>
      <c r="C1187" s="2213" t="s">
        <v>1061</v>
      </c>
      <c r="D1187" s="2214" t="s">
        <v>1062</v>
      </c>
      <c r="E1187" s="2215">
        <v>350000</v>
      </c>
      <c r="F1187" s="2215">
        <f>H1187</f>
        <v>385000</v>
      </c>
      <c r="G1187" s="2208">
        <f t="shared" si="228"/>
        <v>1.1000000000000001</v>
      </c>
      <c r="H1187" s="1635">
        <f t="shared" si="232"/>
        <v>385000</v>
      </c>
      <c r="I1187" s="1636">
        <v>385000</v>
      </c>
    </row>
    <row r="1188" spans="1:9" ht="17.100000000000001" customHeight="1" thickBot="1">
      <c r="A1188" s="1666"/>
      <c r="B1188" s="1734" t="s">
        <v>216</v>
      </c>
      <c r="C1188" s="1735"/>
      <c r="D1188" s="1736" t="s">
        <v>1063</v>
      </c>
      <c r="E1188" s="1737">
        <f t="shared" ref="E1188:F1188" si="235">E1189+E1193</f>
        <v>150000</v>
      </c>
      <c r="F1188" s="1737">
        <f t="shared" si="235"/>
        <v>250000</v>
      </c>
      <c r="G1188" s="1738">
        <f t="shared" si="228"/>
        <v>1.6666666666666667</v>
      </c>
      <c r="H1188" s="1635">
        <f t="shared" si="232"/>
        <v>0</v>
      </c>
    </row>
    <row r="1189" spans="1:9" ht="17.100000000000001" hidden="1" customHeight="1">
      <c r="A1189" s="3182"/>
      <c r="B1189" s="3467"/>
      <c r="C1189" s="3644" t="s">
        <v>755</v>
      </c>
      <c r="D1189" s="3644"/>
      <c r="E1189" s="1805">
        <f>E1190</f>
        <v>0</v>
      </c>
      <c r="F1189" s="1805">
        <f>F1190</f>
        <v>0</v>
      </c>
      <c r="G1189" s="1816" t="e">
        <f t="shared" si="228"/>
        <v>#DIV/0!</v>
      </c>
      <c r="H1189" s="1635">
        <f t="shared" si="232"/>
        <v>0</v>
      </c>
    </row>
    <row r="1190" spans="1:9" ht="17.100000000000001" hidden="1" customHeight="1">
      <c r="A1190" s="3182"/>
      <c r="B1190" s="3467"/>
      <c r="C1190" s="3645" t="s">
        <v>857</v>
      </c>
      <c r="D1190" s="3645"/>
      <c r="E1190" s="2756">
        <f>E1191</f>
        <v>0</v>
      </c>
      <c r="F1190" s="2756">
        <f>F1191</f>
        <v>0</v>
      </c>
      <c r="G1190" s="1905" t="e">
        <f t="shared" si="228"/>
        <v>#DIV/0!</v>
      </c>
      <c r="H1190" s="1635">
        <f t="shared" si="232"/>
        <v>0</v>
      </c>
    </row>
    <row r="1191" spans="1:9" ht="17.100000000000001" hidden="1" customHeight="1">
      <c r="A1191" s="3182"/>
      <c r="B1191" s="3467"/>
      <c r="C1191" s="3079" t="s">
        <v>1064</v>
      </c>
      <c r="D1191" s="3080" t="s">
        <v>1060</v>
      </c>
      <c r="E1191" s="3087">
        <v>0</v>
      </c>
      <c r="F1191" s="2756">
        <f>H1191</f>
        <v>0</v>
      </c>
      <c r="G1191" s="2208" t="e">
        <f t="shared" si="228"/>
        <v>#DIV/0!</v>
      </c>
      <c r="H1191" s="1635">
        <f t="shared" si="232"/>
        <v>0</v>
      </c>
    </row>
    <row r="1192" spans="1:9" ht="17.100000000000001" hidden="1" customHeight="1">
      <c r="A1192" s="3182"/>
      <c r="B1192" s="3477"/>
      <c r="C1192" s="3646"/>
      <c r="D1192" s="3647"/>
      <c r="E1192" s="2756"/>
      <c r="F1192" s="2756"/>
      <c r="G1192" s="1905" t="e">
        <f t="shared" si="228"/>
        <v>#DIV/0!</v>
      </c>
      <c r="H1192" s="1635">
        <f t="shared" si="232"/>
        <v>0</v>
      </c>
    </row>
    <row r="1193" spans="1:9" ht="17.100000000000001" customHeight="1">
      <c r="A1193" s="3182"/>
      <c r="B1193" s="3477"/>
      <c r="C1193" s="3648" t="s">
        <v>810</v>
      </c>
      <c r="D1193" s="3649"/>
      <c r="E1193" s="3088">
        <f t="shared" ref="E1193:F1194" si="236">E1194</f>
        <v>150000</v>
      </c>
      <c r="F1193" s="3088">
        <f t="shared" si="236"/>
        <v>250000</v>
      </c>
      <c r="G1193" s="1673">
        <f t="shared" si="228"/>
        <v>1.6666666666666667</v>
      </c>
      <c r="H1193" s="1635">
        <f t="shared" si="232"/>
        <v>0</v>
      </c>
    </row>
    <row r="1194" spans="1:9" ht="17.100000000000001" customHeight="1">
      <c r="A1194" s="3182"/>
      <c r="B1194" s="3477"/>
      <c r="C1194" s="3645" t="s">
        <v>811</v>
      </c>
      <c r="D1194" s="3650"/>
      <c r="E1194" s="2756">
        <f t="shared" si="236"/>
        <v>150000</v>
      </c>
      <c r="F1194" s="2756">
        <f t="shared" si="236"/>
        <v>250000</v>
      </c>
      <c r="G1194" s="1905">
        <f t="shared" si="228"/>
        <v>1.6666666666666667</v>
      </c>
      <c r="H1194" s="1635">
        <f t="shared" si="232"/>
        <v>0</v>
      </c>
    </row>
    <row r="1195" spans="1:9" ht="27" customHeight="1" thickBot="1">
      <c r="A1195" s="1792"/>
      <c r="B1195" s="3643"/>
      <c r="C1195" s="3081" t="s">
        <v>1061</v>
      </c>
      <c r="D1195" s="3082" t="s">
        <v>1062</v>
      </c>
      <c r="E1195" s="1694">
        <v>150000</v>
      </c>
      <c r="F1195" s="1694">
        <f>H1195</f>
        <v>250000</v>
      </c>
      <c r="G1195" s="1695">
        <f t="shared" si="228"/>
        <v>1.6666666666666667</v>
      </c>
      <c r="H1195" s="1635">
        <f t="shared" si="232"/>
        <v>250000</v>
      </c>
      <c r="I1195" s="1636">
        <v>250000</v>
      </c>
    </row>
    <row r="1196" spans="1:9" ht="17.25" customHeight="1" thickBot="1">
      <c r="A1196" s="1666"/>
      <c r="B1196" s="2289" t="s">
        <v>219</v>
      </c>
      <c r="C1196" s="1892"/>
      <c r="D1196" s="3050" t="s">
        <v>1065</v>
      </c>
      <c r="E1196" s="2632">
        <f t="shared" ref="E1196:F1202" si="237">E1197</f>
        <v>400000</v>
      </c>
      <c r="F1196" s="2632">
        <f t="shared" si="237"/>
        <v>500000</v>
      </c>
      <c r="G1196" s="2219">
        <f t="shared" si="228"/>
        <v>1.25</v>
      </c>
      <c r="H1196" s="1635">
        <f t="shared" si="232"/>
        <v>0</v>
      </c>
    </row>
    <row r="1197" spans="1:9" ht="17.100000000000001" customHeight="1">
      <c r="A1197" s="1666"/>
      <c r="B1197" s="3519"/>
      <c r="C1197" s="3472" t="s">
        <v>810</v>
      </c>
      <c r="D1197" s="3472"/>
      <c r="E1197" s="2220">
        <f t="shared" si="237"/>
        <v>400000</v>
      </c>
      <c r="F1197" s="2220">
        <f t="shared" si="237"/>
        <v>500000</v>
      </c>
      <c r="G1197" s="2221">
        <f t="shared" si="228"/>
        <v>1.25</v>
      </c>
      <c r="H1197" s="1635">
        <f t="shared" si="232"/>
        <v>0</v>
      </c>
    </row>
    <row r="1198" spans="1:9" ht="17.100000000000001" customHeight="1">
      <c r="A1198" s="1666"/>
      <c r="B1198" s="3519"/>
      <c r="C1198" s="3656" t="s">
        <v>811</v>
      </c>
      <c r="D1198" s="3657"/>
      <c r="E1198" s="2222">
        <f t="shared" si="237"/>
        <v>400000</v>
      </c>
      <c r="F1198" s="2222">
        <f t="shared" si="237"/>
        <v>500000</v>
      </c>
      <c r="G1198" s="2223">
        <f t="shared" si="228"/>
        <v>1.25</v>
      </c>
      <c r="H1198" s="1635">
        <f t="shared" si="232"/>
        <v>0</v>
      </c>
    </row>
    <row r="1199" spans="1:9" ht="27" customHeight="1" thickBot="1">
      <c r="A1199" s="1666"/>
      <c r="B1199" s="3519"/>
      <c r="C1199" s="2213" t="s">
        <v>1061</v>
      </c>
      <c r="D1199" s="2214" t="s">
        <v>1062</v>
      </c>
      <c r="E1199" s="2224">
        <v>400000</v>
      </c>
      <c r="F1199" s="2224">
        <f>H1199</f>
        <v>500000</v>
      </c>
      <c r="G1199" s="2225">
        <f t="shared" si="228"/>
        <v>1.25</v>
      </c>
      <c r="H1199" s="1635">
        <f t="shared" si="232"/>
        <v>500000</v>
      </c>
      <c r="I1199" s="1636">
        <v>500000</v>
      </c>
    </row>
    <row r="1200" spans="1:9" ht="18" hidden="1" customHeight="1" thickBot="1">
      <c r="A1200" s="1666"/>
      <c r="B1200" s="1734" t="s">
        <v>1066</v>
      </c>
      <c r="C1200" s="1735"/>
      <c r="D1200" s="1736" t="s">
        <v>1067</v>
      </c>
      <c r="E1200" s="2218">
        <f>E1201+E1205</f>
        <v>94000</v>
      </c>
      <c r="F1200" s="2218">
        <f t="shared" ref="F1200" si="238">F1201+F1205</f>
        <v>0</v>
      </c>
      <c r="G1200" s="2219">
        <f t="shared" si="228"/>
        <v>0</v>
      </c>
      <c r="H1200" s="1635">
        <f t="shared" si="232"/>
        <v>0</v>
      </c>
    </row>
    <row r="1201" spans="1:9" ht="18" hidden="1" customHeight="1">
      <c r="A1201" s="1666"/>
      <c r="B1201" s="1678"/>
      <c r="C1201" s="3472" t="s">
        <v>755</v>
      </c>
      <c r="D1201" s="3472"/>
      <c r="E1201" s="2226">
        <f>E1202</f>
        <v>34000</v>
      </c>
      <c r="F1201" s="2226">
        <f t="shared" si="237"/>
        <v>0</v>
      </c>
      <c r="G1201" s="2227">
        <f t="shared" si="228"/>
        <v>0</v>
      </c>
      <c r="H1201" s="1635">
        <f t="shared" si="232"/>
        <v>0</v>
      </c>
    </row>
    <row r="1202" spans="1:9" ht="12.75" hidden="1" customHeight="1">
      <c r="A1202" s="1666"/>
      <c r="B1202" s="1678"/>
      <c r="C1202" s="3656" t="s">
        <v>857</v>
      </c>
      <c r="D1202" s="3656"/>
      <c r="E1202" s="2222">
        <f>E1203</f>
        <v>34000</v>
      </c>
      <c r="F1202" s="2222">
        <f t="shared" si="237"/>
        <v>0</v>
      </c>
      <c r="G1202" s="2223">
        <f t="shared" si="228"/>
        <v>0</v>
      </c>
      <c r="H1202" s="1635">
        <f t="shared" si="232"/>
        <v>0</v>
      </c>
    </row>
    <row r="1203" spans="1:9" ht="35.25" hidden="1" customHeight="1">
      <c r="A1203" s="1666"/>
      <c r="B1203" s="1678"/>
      <c r="C1203" s="2228" t="s">
        <v>394</v>
      </c>
      <c r="D1203" s="2229" t="s">
        <v>978</v>
      </c>
      <c r="E1203" s="2224">
        <v>34000</v>
      </c>
      <c r="F1203" s="2224">
        <f>H1203</f>
        <v>0</v>
      </c>
      <c r="G1203" s="2225">
        <f t="shared" si="228"/>
        <v>0</v>
      </c>
      <c r="H1203" s="1635">
        <f t="shared" si="232"/>
        <v>0</v>
      </c>
    </row>
    <row r="1204" spans="1:9" ht="17.25" hidden="1" customHeight="1">
      <c r="A1204" s="1666"/>
      <c r="B1204" s="1678"/>
      <c r="C1204" s="3660"/>
      <c r="D1204" s="3661"/>
      <c r="E1204" s="2224"/>
      <c r="F1204" s="2224"/>
      <c r="G1204" s="2225"/>
      <c r="H1204" s="1635">
        <f t="shared" si="232"/>
        <v>0</v>
      </c>
    </row>
    <row r="1205" spans="1:9" ht="15" hidden="1" customHeight="1">
      <c r="A1205" s="1666"/>
      <c r="B1205" s="1678"/>
      <c r="C1205" s="3658" t="s">
        <v>810</v>
      </c>
      <c r="D1205" s="3659"/>
      <c r="E1205" s="2230">
        <f>E1206</f>
        <v>60000</v>
      </c>
      <c r="F1205" s="2230">
        <f t="shared" ref="F1205:F1206" si="239">F1206</f>
        <v>0</v>
      </c>
      <c r="G1205" s="2231">
        <f t="shared" si="228"/>
        <v>0</v>
      </c>
      <c r="H1205" s="1635">
        <f t="shared" si="232"/>
        <v>0</v>
      </c>
    </row>
    <row r="1206" spans="1:9" ht="18" hidden="1" customHeight="1">
      <c r="A1206" s="1666"/>
      <c r="B1206" s="1678"/>
      <c r="C1206" s="3656" t="s">
        <v>811</v>
      </c>
      <c r="D1206" s="3657"/>
      <c r="E1206" s="2222">
        <f>E1207</f>
        <v>60000</v>
      </c>
      <c r="F1206" s="2222">
        <f t="shared" si="239"/>
        <v>0</v>
      </c>
      <c r="G1206" s="2223">
        <f t="shared" si="228"/>
        <v>0</v>
      </c>
      <c r="H1206" s="1635">
        <f t="shared" si="232"/>
        <v>0</v>
      </c>
    </row>
    <row r="1207" spans="1:9" ht="42.75" hidden="1" customHeight="1" thickBot="1">
      <c r="A1207" s="1666"/>
      <c r="B1207" s="1678"/>
      <c r="C1207" s="2216" t="s">
        <v>938</v>
      </c>
      <c r="D1207" s="2217" t="s">
        <v>939</v>
      </c>
      <c r="E1207" s="2232">
        <v>60000</v>
      </c>
      <c r="F1207" s="2232">
        <f>H1207</f>
        <v>0</v>
      </c>
      <c r="G1207" s="2233">
        <f t="shared" si="228"/>
        <v>0</v>
      </c>
      <c r="H1207" s="1635">
        <f t="shared" si="232"/>
        <v>0</v>
      </c>
    </row>
    <row r="1208" spans="1:9" ht="17.100000000000001" customHeight="1" thickBot="1">
      <c r="A1208" s="1666"/>
      <c r="B1208" s="1734" t="s">
        <v>1068</v>
      </c>
      <c r="C1208" s="1893"/>
      <c r="D1208" s="1736" t="s">
        <v>1069</v>
      </c>
      <c r="E1208" s="2218">
        <f>E1209+E1212</f>
        <v>420000</v>
      </c>
      <c r="F1208" s="2218">
        <f>F1209+F1212</f>
        <v>526000</v>
      </c>
      <c r="G1208" s="2219">
        <f t="shared" si="228"/>
        <v>1.2523809523809524</v>
      </c>
      <c r="H1208" s="1635">
        <f t="shared" si="232"/>
        <v>0</v>
      </c>
    </row>
    <row r="1209" spans="1:9" ht="17.100000000000001" customHeight="1">
      <c r="A1209" s="1666"/>
      <c r="B1209" s="3467"/>
      <c r="C1209" s="3472" t="s">
        <v>755</v>
      </c>
      <c r="D1209" s="3472"/>
      <c r="E1209" s="2220">
        <f t="shared" ref="E1209:F1210" si="240">E1210</f>
        <v>420000</v>
      </c>
      <c r="F1209" s="2220">
        <f t="shared" si="240"/>
        <v>526000</v>
      </c>
      <c r="G1209" s="2221">
        <f t="shared" si="228"/>
        <v>1.2523809523809524</v>
      </c>
      <c r="H1209" s="1635">
        <f t="shared" si="232"/>
        <v>0</v>
      </c>
    </row>
    <row r="1210" spans="1:9" ht="17.100000000000001" customHeight="1">
      <c r="A1210" s="1666"/>
      <c r="B1210" s="3467"/>
      <c r="C1210" s="3656" t="s">
        <v>857</v>
      </c>
      <c r="D1210" s="3656"/>
      <c r="E1210" s="2222">
        <f t="shared" si="240"/>
        <v>420000</v>
      </c>
      <c r="F1210" s="2222">
        <f t="shared" si="240"/>
        <v>526000</v>
      </c>
      <c r="G1210" s="2223">
        <f t="shared" si="228"/>
        <v>1.2523809523809524</v>
      </c>
      <c r="H1210" s="1635">
        <f t="shared" si="232"/>
        <v>0</v>
      </c>
    </row>
    <row r="1211" spans="1:9" ht="58.5" customHeight="1" thickBot="1">
      <c r="A1211" s="1666"/>
      <c r="B1211" s="3467"/>
      <c r="C1211" s="2213" t="s">
        <v>409</v>
      </c>
      <c r="D1211" s="2214" t="s">
        <v>876</v>
      </c>
      <c r="E1211" s="2224">
        <v>420000</v>
      </c>
      <c r="F1211" s="2224">
        <f>H1211</f>
        <v>526000</v>
      </c>
      <c r="G1211" s="2225">
        <f t="shared" si="228"/>
        <v>1.2523809523809524</v>
      </c>
      <c r="H1211" s="1635">
        <f t="shared" si="232"/>
        <v>526000</v>
      </c>
      <c r="I1211" s="1636">
        <v>526000</v>
      </c>
    </row>
    <row r="1212" spans="1:9" ht="15" hidden="1" customHeight="1">
      <c r="A1212" s="1666"/>
      <c r="B1212" s="1678"/>
      <c r="C1212" s="3658" t="s">
        <v>810</v>
      </c>
      <c r="D1212" s="3659"/>
      <c r="E1212" s="2230">
        <f>E1213</f>
        <v>0</v>
      </c>
      <c r="F1212" s="2230">
        <f t="shared" ref="F1212:F1213" si="241">F1213</f>
        <v>0</v>
      </c>
      <c r="G1212" s="2231" t="e">
        <f t="shared" si="228"/>
        <v>#DIV/0!</v>
      </c>
      <c r="H1212" s="1635">
        <f t="shared" si="232"/>
        <v>0</v>
      </c>
    </row>
    <row r="1213" spans="1:9" ht="18" hidden="1" customHeight="1">
      <c r="A1213" s="1666"/>
      <c r="B1213" s="1678"/>
      <c r="C1213" s="3656" t="s">
        <v>811</v>
      </c>
      <c r="D1213" s="3657"/>
      <c r="E1213" s="2222">
        <f>E1214</f>
        <v>0</v>
      </c>
      <c r="F1213" s="2222">
        <f t="shared" si="241"/>
        <v>0</v>
      </c>
      <c r="G1213" s="2223" t="e">
        <f t="shared" si="228"/>
        <v>#DIV/0!</v>
      </c>
      <c r="H1213" s="1635">
        <f t="shared" si="232"/>
        <v>0</v>
      </c>
    </row>
    <row r="1214" spans="1:9" ht="54.75" hidden="1" customHeight="1" thickBot="1">
      <c r="A1214" s="1666"/>
      <c r="B1214" s="1678"/>
      <c r="C1214" s="2216" t="s">
        <v>1070</v>
      </c>
      <c r="D1214" s="2217" t="s">
        <v>1071</v>
      </c>
      <c r="E1214" s="2232"/>
      <c r="F1214" s="2232">
        <f>H1214</f>
        <v>0</v>
      </c>
      <c r="G1214" s="2233" t="e">
        <f t="shared" si="228"/>
        <v>#DIV/0!</v>
      </c>
      <c r="H1214" s="1635">
        <f t="shared" si="232"/>
        <v>0</v>
      </c>
    </row>
    <row r="1215" spans="1:9" ht="17.100000000000001" customHeight="1" thickBot="1">
      <c r="A1215" s="1666"/>
      <c r="B1215" s="1734" t="s">
        <v>1072</v>
      </c>
      <c r="C1215" s="1735"/>
      <c r="D1215" s="1736" t="s">
        <v>510</v>
      </c>
      <c r="E1215" s="2218">
        <f>E1216+E1224</f>
        <v>178000</v>
      </c>
      <c r="F1215" s="2218">
        <f>F1216+F1224</f>
        <v>50000</v>
      </c>
      <c r="G1215" s="2219">
        <f t="shared" si="228"/>
        <v>0.2808988764044944</v>
      </c>
      <c r="H1215" s="1635">
        <f t="shared" si="232"/>
        <v>0</v>
      </c>
    </row>
    <row r="1216" spans="1:9" ht="17.100000000000001" customHeight="1">
      <c r="A1216" s="1666"/>
      <c r="B1216" s="3467"/>
      <c r="C1216" s="3472" t="s">
        <v>755</v>
      </c>
      <c r="D1216" s="3472"/>
      <c r="E1216" s="1805">
        <f>E1217+E1221</f>
        <v>178000</v>
      </c>
      <c r="F1216" s="2220">
        <f>F1217+F1221</f>
        <v>50000</v>
      </c>
      <c r="G1216" s="2221">
        <f t="shared" si="228"/>
        <v>0.2808988764044944</v>
      </c>
      <c r="H1216" s="1635">
        <f t="shared" si="232"/>
        <v>0</v>
      </c>
    </row>
    <row r="1217" spans="1:11" ht="17.100000000000001" customHeight="1">
      <c r="A1217" s="1666"/>
      <c r="B1217" s="3467"/>
      <c r="C1217" s="3651" t="s">
        <v>756</v>
      </c>
      <c r="D1217" s="3651"/>
      <c r="E1217" s="1749">
        <f>E1218</f>
        <v>178000</v>
      </c>
      <c r="F1217" s="2224">
        <f>F1218</f>
        <v>50000</v>
      </c>
      <c r="G1217" s="2234">
        <f t="shared" si="228"/>
        <v>0.2808988764044944</v>
      </c>
      <c r="H1217" s="1635">
        <f t="shared" si="232"/>
        <v>0</v>
      </c>
    </row>
    <row r="1218" spans="1:11" ht="17.100000000000001" customHeight="1">
      <c r="A1218" s="1666"/>
      <c r="B1218" s="3467"/>
      <c r="C1218" s="3652" t="s">
        <v>770</v>
      </c>
      <c r="D1218" s="3652"/>
      <c r="E1218" s="1749">
        <f>SUM(E1219:E1220)</f>
        <v>178000</v>
      </c>
      <c r="F1218" s="2224">
        <f>SUM(F1219:F1220)</f>
        <v>50000</v>
      </c>
      <c r="G1218" s="2234">
        <f t="shared" si="228"/>
        <v>0.2808988764044944</v>
      </c>
      <c r="H1218" s="1635">
        <f t="shared" si="232"/>
        <v>0</v>
      </c>
    </row>
    <row r="1219" spans="1:11" ht="17.100000000000001" hidden="1" customHeight="1">
      <c r="A1219" s="1666"/>
      <c r="B1219" s="3467"/>
      <c r="C1219" s="2184" t="s">
        <v>773</v>
      </c>
      <c r="D1219" s="2214" t="s">
        <v>774</v>
      </c>
      <c r="E1219" s="1749"/>
      <c r="F1219" s="2224">
        <f>H1219</f>
        <v>0</v>
      </c>
      <c r="G1219" s="2234" t="e">
        <f t="shared" si="228"/>
        <v>#DIV/0!</v>
      </c>
      <c r="H1219" s="1635">
        <f t="shared" si="232"/>
        <v>0</v>
      </c>
    </row>
    <row r="1220" spans="1:11" ht="17.100000000000001" customHeight="1" thickBot="1">
      <c r="A1220" s="1666"/>
      <c r="B1220" s="3467"/>
      <c r="C1220" s="2235" t="s">
        <v>783</v>
      </c>
      <c r="D1220" s="2236" t="s">
        <v>784</v>
      </c>
      <c r="E1220" s="1749">
        <v>178000</v>
      </c>
      <c r="F1220" s="2224">
        <f>H1220</f>
        <v>50000</v>
      </c>
      <c r="G1220" s="2234">
        <f t="shared" si="228"/>
        <v>0.2808988764044944</v>
      </c>
      <c r="H1220" s="1635">
        <f t="shared" si="232"/>
        <v>50000</v>
      </c>
      <c r="K1220" s="1636">
        <v>50000</v>
      </c>
    </row>
    <row r="1221" spans="1:11" ht="17.100000000000001" hidden="1" customHeight="1">
      <c r="A1221" s="1666"/>
      <c r="B1221" s="3467"/>
      <c r="C1221" s="3656" t="s">
        <v>857</v>
      </c>
      <c r="D1221" s="3486"/>
      <c r="E1221" s="1904">
        <f>SUM(E1222:E1223)</f>
        <v>0</v>
      </c>
      <c r="F1221" s="2224">
        <f>SUM(F1222:F1223)</f>
        <v>0</v>
      </c>
      <c r="G1221" s="2234" t="e">
        <f t="shared" si="228"/>
        <v>#DIV/0!</v>
      </c>
      <c r="H1221" s="1635">
        <f t="shared" si="232"/>
        <v>0</v>
      </c>
    </row>
    <row r="1222" spans="1:11" ht="57" hidden="1" customHeight="1">
      <c r="A1222" s="1666"/>
      <c r="B1222" s="3467"/>
      <c r="C1222" s="2213" t="s">
        <v>409</v>
      </c>
      <c r="D1222" s="2214" t="s">
        <v>876</v>
      </c>
      <c r="E1222" s="2215">
        <v>0</v>
      </c>
      <c r="F1222" s="2224">
        <f>H1222</f>
        <v>0</v>
      </c>
      <c r="G1222" s="2234" t="e">
        <f t="shared" si="228"/>
        <v>#DIV/0!</v>
      </c>
      <c r="H1222" s="1635">
        <f t="shared" si="232"/>
        <v>0</v>
      </c>
    </row>
    <row r="1223" spans="1:11" ht="31.5" hidden="1" customHeight="1">
      <c r="A1223" s="1666"/>
      <c r="B1223" s="1698"/>
      <c r="C1223" s="2237" t="s">
        <v>923</v>
      </c>
      <c r="D1223" s="2238" t="s">
        <v>1073</v>
      </c>
      <c r="E1223" s="2215"/>
      <c r="F1223" s="2224">
        <f>H1223</f>
        <v>0</v>
      </c>
      <c r="G1223" s="2234" t="e">
        <f t="shared" si="228"/>
        <v>#DIV/0!</v>
      </c>
      <c r="H1223" s="1635">
        <f t="shared" si="232"/>
        <v>0</v>
      </c>
    </row>
    <row r="1224" spans="1:11" ht="15" hidden="1" customHeight="1">
      <c r="A1224" s="1666"/>
      <c r="B1224" s="1678"/>
      <c r="C1224" s="3658" t="s">
        <v>810</v>
      </c>
      <c r="D1224" s="3659"/>
      <c r="E1224" s="2071">
        <f>E1225</f>
        <v>0</v>
      </c>
      <c r="F1224" s="2239">
        <f t="shared" ref="F1224:F1225" si="242">F1225</f>
        <v>0</v>
      </c>
      <c r="G1224" s="2231" t="e">
        <f t="shared" si="228"/>
        <v>#DIV/0!</v>
      </c>
      <c r="H1224" s="1635">
        <f t="shared" si="232"/>
        <v>0</v>
      </c>
    </row>
    <row r="1225" spans="1:11" ht="18" hidden="1" customHeight="1">
      <c r="A1225" s="1666"/>
      <c r="B1225" s="1678"/>
      <c r="C1225" s="3656" t="s">
        <v>811</v>
      </c>
      <c r="D1225" s="3657"/>
      <c r="E1225" s="1904">
        <f>E1226</f>
        <v>0</v>
      </c>
      <c r="F1225" s="2224">
        <f t="shared" si="242"/>
        <v>0</v>
      </c>
      <c r="G1225" s="2223" t="e">
        <f t="shared" si="228"/>
        <v>#DIV/0!</v>
      </c>
      <c r="H1225" s="1635">
        <f t="shared" si="232"/>
        <v>0</v>
      </c>
    </row>
    <row r="1226" spans="1:11" ht="42.75" hidden="1" customHeight="1" thickBot="1">
      <c r="A1226" s="1666"/>
      <c r="B1226" s="1678"/>
      <c r="C1226" s="2216" t="s">
        <v>1070</v>
      </c>
      <c r="D1226" s="2217" t="s">
        <v>939</v>
      </c>
      <c r="E1226" s="1694">
        <v>0</v>
      </c>
      <c r="F1226" s="2224">
        <f>H1226</f>
        <v>0</v>
      </c>
      <c r="G1226" s="2233" t="e">
        <f t="shared" si="228"/>
        <v>#DIV/0!</v>
      </c>
      <c r="H1226" s="1635">
        <f t="shared" si="232"/>
        <v>0</v>
      </c>
    </row>
    <row r="1227" spans="1:11" ht="18" hidden="1" customHeight="1" thickBot="1">
      <c r="A1227" s="1666"/>
      <c r="B1227" s="1734" t="s">
        <v>1074</v>
      </c>
      <c r="C1227" s="1735"/>
      <c r="D1227" s="1736" t="s">
        <v>11</v>
      </c>
      <c r="E1227" s="2218">
        <f>E1228</f>
        <v>0</v>
      </c>
      <c r="F1227" s="2218">
        <f>F1228</f>
        <v>0</v>
      </c>
      <c r="G1227" s="2219" t="e">
        <f t="shared" si="228"/>
        <v>#DIV/0!</v>
      </c>
      <c r="H1227" s="1635">
        <f t="shared" ref="H1227:H1299" si="243">SUM(I1227:AE1227)</f>
        <v>0</v>
      </c>
    </row>
    <row r="1228" spans="1:11" ht="18" hidden="1" customHeight="1">
      <c r="A1228" s="1666"/>
      <c r="B1228" s="1678"/>
      <c r="C1228" s="3472" t="s">
        <v>755</v>
      </c>
      <c r="D1228" s="3472"/>
      <c r="E1228" s="2226">
        <f>E1229</f>
        <v>0</v>
      </c>
      <c r="F1228" s="2226">
        <f t="shared" ref="F1228:F1229" si="244">F1229</f>
        <v>0</v>
      </c>
      <c r="G1228" s="2227" t="e">
        <f t="shared" si="228"/>
        <v>#DIV/0!</v>
      </c>
      <c r="H1228" s="1635">
        <f t="shared" si="243"/>
        <v>0</v>
      </c>
    </row>
    <row r="1229" spans="1:11" ht="12.75" hidden="1" customHeight="1">
      <c r="A1229" s="1666"/>
      <c r="B1229" s="1678"/>
      <c r="C1229" s="3656" t="s">
        <v>857</v>
      </c>
      <c r="D1229" s="3656"/>
      <c r="E1229" s="2222">
        <f>E1230</f>
        <v>0</v>
      </c>
      <c r="F1229" s="2222">
        <f t="shared" si="244"/>
        <v>0</v>
      </c>
      <c r="G1229" s="2223" t="e">
        <f t="shared" si="228"/>
        <v>#DIV/0!</v>
      </c>
      <c r="H1229" s="1635">
        <f t="shared" si="243"/>
        <v>0</v>
      </c>
    </row>
    <row r="1230" spans="1:11" ht="45" hidden="1" customHeight="1" thickBot="1">
      <c r="A1230" s="1666"/>
      <c r="B1230" s="1678"/>
      <c r="C1230" s="2228" t="s">
        <v>394</v>
      </c>
      <c r="D1230" s="2229" t="s">
        <v>978</v>
      </c>
      <c r="E1230" s="2224"/>
      <c r="F1230" s="2224">
        <f>H1230</f>
        <v>0</v>
      </c>
      <c r="G1230" s="2225" t="e">
        <f t="shared" si="228"/>
        <v>#DIV/0!</v>
      </c>
      <c r="H1230" s="1635">
        <f t="shared" si="243"/>
        <v>0</v>
      </c>
    </row>
    <row r="1231" spans="1:11" ht="17.100000000000001" customHeight="1" thickBot="1">
      <c r="A1231" s="1660" t="s">
        <v>1075</v>
      </c>
      <c r="B1231" s="1765"/>
      <c r="C1231" s="1766"/>
      <c r="D1231" s="1767" t="s">
        <v>1076</v>
      </c>
      <c r="E1231" s="2240">
        <f t="shared" ref="E1231:F1231" si="245">E1232+E1236</f>
        <v>20307341</v>
      </c>
      <c r="F1231" s="2240">
        <f t="shared" si="245"/>
        <v>18747646</v>
      </c>
      <c r="G1231" s="2241">
        <f t="shared" si="228"/>
        <v>0.92319550846169374</v>
      </c>
      <c r="H1231" s="1635">
        <f t="shared" si="243"/>
        <v>0</v>
      </c>
    </row>
    <row r="1232" spans="1:11" ht="30" customHeight="1" thickBot="1">
      <c r="A1232" s="1666"/>
      <c r="B1232" s="1734" t="s">
        <v>1077</v>
      </c>
      <c r="C1232" s="1735"/>
      <c r="D1232" s="1736" t="s">
        <v>1078</v>
      </c>
      <c r="E1232" s="1737">
        <f t="shared" ref="E1232:F1234" si="246">E1233</f>
        <v>10736836</v>
      </c>
      <c r="F1232" s="2242">
        <f t="shared" si="246"/>
        <v>7752608</v>
      </c>
      <c r="G1232" s="2243">
        <f t="shared" si="228"/>
        <v>0.72205703803243337</v>
      </c>
      <c r="H1232" s="1635">
        <f t="shared" si="243"/>
        <v>0</v>
      </c>
    </row>
    <row r="1233" spans="1:31" ht="17.100000000000001" customHeight="1">
      <c r="A1233" s="1666"/>
      <c r="B1233" s="3467"/>
      <c r="C1233" s="3662" t="s">
        <v>755</v>
      </c>
      <c r="D1233" s="3487"/>
      <c r="E1233" s="1672">
        <f t="shared" si="246"/>
        <v>10736836</v>
      </c>
      <c r="F1233" s="2226">
        <f t="shared" si="246"/>
        <v>7752608</v>
      </c>
      <c r="G1233" s="2244">
        <f t="shared" si="228"/>
        <v>0.72205703803243337</v>
      </c>
      <c r="H1233" s="1635">
        <f t="shared" si="243"/>
        <v>0</v>
      </c>
    </row>
    <row r="1234" spans="1:31" ht="17.100000000000001" customHeight="1">
      <c r="A1234" s="1666"/>
      <c r="B1234" s="3467"/>
      <c r="C1234" s="3663" t="s">
        <v>1079</v>
      </c>
      <c r="D1234" s="3651"/>
      <c r="E1234" s="1904">
        <f t="shared" si="246"/>
        <v>10736836</v>
      </c>
      <c r="F1234" s="2224">
        <f t="shared" si="246"/>
        <v>7752608</v>
      </c>
      <c r="G1234" s="2245">
        <f t="shared" si="228"/>
        <v>0.72205703803243337</v>
      </c>
      <c r="H1234" s="1635">
        <f t="shared" si="243"/>
        <v>0</v>
      </c>
    </row>
    <row r="1235" spans="1:31" ht="33.75" customHeight="1" thickBot="1">
      <c r="A1235" s="1666"/>
      <c r="B1235" s="3467"/>
      <c r="C1235" s="3123" t="s">
        <v>1080</v>
      </c>
      <c r="D1235" s="3103" t="s">
        <v>1081</v>
      </c>
      <c r="E1235" s="3087">
        <v>10736836</v>
      </c>
      <c r="F1235" s="3124">
        <f>H1235</f>
        <v>7752608</v>
      </c>
      <c r="G1235" s="2247">
        <f t="shared" si="228"/>
        <v>0.72205703803243337</v>
      </c>
      <c r="H1235" s="1635">
        <f t="shared" si="243"/>
        <v>7752608</v>
      </c>
      <c r="J1235" s="1636">
        <v>7752608</v>
      </c>
    </row>
    <row r="1236" spans="1:31" ht="26.25" customHeight="1" thickBot="1">
      <c r="A1236" s="1666"/>
      <c r="B1236" s="1734" t="s">
        <v>1082</v>
      </c>
      <c r="C1236" s="1735"/>
      <c r="D1236" s="1736" t="s">
        <v>1083</v>
      </c>
      <c r="E1236" s="1737">
        <f t="shared" ref="E1236:F1238" si="247">E1237</f>
        <v>9570505</v>
      </c>
      <c r="F1236" s="2242">
        <f t="shared" si="247"/>
        <v>10995038</v>
      </c>
      <c r="G1236" s="2243">
        <f t="shared" si="228"/>
        <v>1.1488461685146185</v>
      </c>
      <c r="H1236" s="1635">
        <f t="shared" si="243"/>
        <v>0</v>
      </c>
    </row>
    <row r="1237" spans="1:31" ht="17.100000000000001" customHeight="1">
      <c r="A1237" s="2249"/>
      <c r="B1237" s="3467"/>
      <c r="C1237" s="3472" t="s">
        <v>755</v>
      </c>
      <c r="D1237" s="3472"/>
      <c r="E1237" s="1672">
        <f t="shared" si="247"/>
        <v>9570505</v>
      </c>
      <c r="F1237" s="2226">
        <f t="shared" si="247"/>
        <v>10995038</v>
      </c>
      <c r="G1237" s="2244">
        <f t="shared" si="228"/>
        <v>1.1488461685146185</v>
      </c>
      <c r="H1237" s="1635">
        <f t="shared" si="243"/>
        <v>0</v>
      </c>
    </row>
    <row r="1238" spans="1:31" ht="17.100000000000001" customHeight="1">
      <c r="A1238" s="2249"/>
      <c r="B1238" s="3467"/>
      <c r="C1238" s="3651" t="s">
        <v>1084</v>
      </c>
      <c r="D1238" s="3651"/>
      <c r="E1238" s="1904">
        <f t="shared" si="247"/>
        <v>9570505</v>
      </c>
      <c r="F1238" s="2224">
        <f t="shared" si="247"/>
        <v>10995038</v>
      </c>
      <c r="G1238" s="2245">
        <f t="shared" si="228"/>
        <v>1.1488461685146185</v>
      </c>
      <c r="H1238" s="1635">
        <f t="shared" si="243"/>
        <v>0</v>
      </c>
    </row>
    <row r="1239" spans="1:31" ht="17.100000000000001" customHeight="1" thickBot="1">
      <c r="A1239" s="1666"/>
      <c r="B1239" s="3468"/>
      <c r="C1239" s="2216" t="s">
        <v>1085</v>
      </c>
      <c r="D1239" s="2217" t="s">
        <v>1086</v>
      </c>
      <c r="E1239" s="1694">
        <v>9570505</v>
      </c>
      <c r="F1239" s="2224">
        <f>H1239</f>
        <v>10995038</v>
      </c>
      <c r="G1239" s="2250">
        <f t="shared" si="228"/>
        <v>1.1488461685146185</v>
      </c>
      <c r="H1239" s="1635">
        <f t="shared" si="243"/>
        <v>10995038</v>
      </c>
      <c r="J1239" s="1636">
        <v>10995038</v>
      </c>
    </row>
    <row r="1240" spans="1:31" ht="17.100000000000001" customHeight="1" thickBot="1">
      <c r="A1240" s="1660" t="s">
        <v>1087</v>
      </c>
      <c r="B1240" s="1661"/>
      <c r="C1240" s="1662"/>
      <c r="D1240" s="2251" t="s">
        <v>1088</v>
      </c>
      <c r="E1240" s="2252">
        <f t="shared" ref="E1240:F1240" si="248">E1241</f>
        <v>28477129</v>
      </c>
      <c r="F1240" s="2253">
        <f t="shared" si="248"/>
        <v>86048000</v>
      </c>
      <c r="G1240" s="2254">
        <f t="shared" si="228"/>
        <v>3.0216529201381221</v>
      </c>
      <c r="H1240" s="1635">
        <f t="shared" si="243"/>
        <v>0</v>
      </c>
    </row>
    <row r="1241" spans="1:31" ht="17.100000000000001" customHeight="1" thickBot="1">
      <c r="A1241" s="1666"/>
      <c r="B1241" s="1734" t="s">
        <v>1089</v>
      </c>
      <c r="C1241" s="1735"/>
      <c r="D1241" s="2255" t="s">
        <v>1090</v>
      </c>
      <c r="E1241" s="2256">
        <f t="shared" ref="E1241:F1241" si="249">E1242+E1247</f>
        <v>28477129</v>
      </c>
      <c r="F1241" s="2242">
        <f t="shared" si="249"/>
        <v>86048000</v>
      </c>
      <c r="G1241" s="2243">
        <f t="shared" si="228"/>
        <v>3.0216529201381221</v>
      </c>
      <c r="H1241" s="1635">
        <f t="shared" si="243"/>
        <v>0</v>
      </c>
    </row>
    <row r="1242" spans="1:31" ht="17.100000000000001" customHeight="1">
      <c r="A1242" s="1666"/>
      <c r="B1242" s="3467"/>
      <c r="C1242" s="3472" t="s">
        <v>755</v>
      </c>
      <c r="D1242" s="3664"/>
      <c r="E1242" s="2257">
        <f t="shared" ref="E1242:F1244" si="250">E1243</f>
        <v>10332508</v>
      </c>
      <c r="F1242" s="2258">
        <f t="shared" si="250"/>
        <v>29348000</v>
      </c>
      <c r="G1242" s="2244">
        <f t="shared" si="228"/>
        <v>2.8403558942320681</v>
      </c>
      <c r="H1242" s="1635">
        <f t="shared" si="243"/>
        <v>0</v>
      </c>
    </row>
    <row r="1243" spans="1:31" ht="17.100000000000001" customHeight="1">
      <c r="A1243" s="1666"/>
      <c r="B1243" s="3467"/>
      <c r="C1243" s="3651" t="s">
        <v>756</v>
      </c>
      <c r="D1243" s="3665"/>
      <c r="E1243" s="2259">
        <f t="shared" si="250"/>
        <v>10332508</v>
      </c>
      <c r="F1243" s="2260">
        <f t="shared" si="250"/>
        <v>29348000</v>
      </c>
      <c r="G1243" s="2245">
        <f t="shared" si="228"/>
        <v>2.8403558942320681</v>
      </c>
      <c r="H1243" s="1635">
        <f t="shared" si="243"/>
        <v>0</v>
      </c>
    </row>
    <row r="1244" spans="1:31" ht="17.100000000000001" customHeight="1">
      <c r="A1244" s="1666"/>
      <c r="B1244" s="3467"/>
      <c r="C1244" s="3652" t="s">
        <v>770</v>
      </c>
      <c r="D1244" s="3666"/>
      <c r="E1244" s="2261">
        <f t="shared" si="250"/>
        <v>10332508</v>
      </c>
      <c r="F1244" s="2262">
        <f t="shared" si="250"/>
        <v>29348000</v>
      </c>
      <c r="G1244" s="2263">
        <f t="shared" si="228"/>
        <v>2.8403558942320681</v>
      </c>
      <c r="H1244" s="1635">
        <f t="shared" si="243"/>
        <v>0</v>
      </c>
    </row>
    <row r="1245" spans="1:31" ht="17.100000000000001" customHeight="1">
      <c r="A1245" s="1666"/>
      <c r="B1245" s="3467"/>
      <c r="C1245" s="2213" t="s">
        <v>1091</v>
      </c>
      <c r="D1245" s="2264" t="s">
        <v>1092</v>
      </c>
      <c r="E1245" s="2265">
        <v>10332508</v>
      </c>
      <c r="F1245" s="2266">
        <f>H1245</f>
        <v>29348000</v>
      </c>
      <c r="G1245" s="2247">
        <f t="shared" si="228"/>
        <v>2.8403558942320681</v>
      </c>
      <c r="H1245" s="1635">
        <f t="shared" si="243"/>
        <v>29348000</v>
      </c>
      <c r="AE1245" s="1637">
        <v>29348000</v>
      </c>
    </row>
    <row r="1246" spans="1:31" ht="17.100000000000001" customHeight="1">
      <c r="A1246" s="1666"/>
      <c r="B1246" s="3467"/>
      <c r="C1246" s="2267"/>
      <c r="D1246" s="2268"/>
      <c r="E1246" s="2268"/>
      <c r="F1246" s="2268"/>
      <c r="G1246" s="2269"/>
      <c r="H1246" s="1635">
        <f t="shared" si="243"/>
        <v>0</v>
      </c>
    </row>
    <row r="1247" spans="1:31" ht="17.100000000000001" customHeight="1">
      <c r="A1247" s="1666"/>
      <c r="B1247" s="3467"/>
      <c r="C1247" s="3497" t="s">
        <v>810</v>
      </c>
      <c r="D1247" s="3667"/>
      <c r="E1247" s="2257">
        <f t="shared" ref="E1247:F1248" si="251">E1248</f>
        <v>18144621</v>
      </c>
      <c r="F1247" s="2258">
        <f t="shared" si="251"/>
        <v>56700000</v>
      </c>
      <c r="G1247" s="2244">
        <f t="shared" si="228"/>
        <v>3.124893046815362</v>
      </c>
      <c r="H1247" s="1635">
        <f t="shared" si="243"/>
        <v>0</v>
      </c>
    </row>
    <row r="1248" spans="1:31" ht="17.100000000000001" customHeight="1">
      <c r="A1248" s="1666"/>
      <c r="B1248" s="3467"/>
      <c r="C1248" s="3656" t="s">
        <v>811</v>
      </c>
      <c r="D1248" s="3668"/>
      <c r="E1248" s="2259">
        <f t="shared" si="251"/>
        <v>18144621</v>
      </c>
      <c r="F1248" s="2260">
        <f t="shared" si="251"/>
        <v>56700000</v>
      </c>
      <c r="G1248" s="2245">
        <f t="shared" si="228"/>
        <v>3.124893046815362</v>
      </c>
      <c r="H1248" s="1635">
        <f t="shared" si="243"/>
        <v>0</v>
      </c>
    </row>
    <row r="1249" spans="1:32" ht="17.100000000000001" customHeight="1" thickBot="1">
      <c r="A1249" s="1666"/>
      <c r="B1249" s="3468"/>
      <c r="C1249" s="2270" t="s">
        <v>1093</v>
      </c>
      <c r="D1249" s="2271" t="s">
        <v>1094</v>
      </c>
      <c r="E1249" s="2265">
        <v>18144621</v>
      </c>
      <c r="F1249" s="2266">
        <f>H1249</f>
        <v>56700000</v>
      </c>
      <c r="G1249" s="2247">
        <f t="shared" si="228"/>
        <v>3.124893046815362</v>
      </c>
      <c r="H1249" s="1635">
        <f t="shared" si="243"/>
        <v>56700000</v>
      </c>
      <c r="AE1249" s="1637">
        <v>56700000</v>
      </c>
    </row>
    <row r="1250" spans="1:32" ht="13.5" thickBot="1">
      <c r="A1250" s="1660" t="s">
        <v>1095</v>
      </c>
      <c r="B1250" s="1661"/>
      <c r="C1250" s="2272"/>
      <c r="D1250" s="2273" t="s">
        <v>1096</v>
      </c>
      <c r="E1250" s="1664">
        <f>SUM(E1251,E1259,E1301,E1323,E1343,E1405,E1490,E1560,E1544,E1318,E1294)</f>
        <v>57044931</v>
      </c>
      <c r="F1250" s="1664">
        <f>SUM(F1251,F1259,F1301,F1323,F1343,F1405,F1490,F1560,F1544,F1318,F1294)</f>
        <v>54167144</v>
      </c>
      <c r="G1250" s="1665">
        <f t="shared" si="228"/>
        <v>0.94955227485506122</v>
      </c>
      <c r="H1250" s="1635">
        <f t="shared" si="243"/>
        <v>0</v>
      </c>
    </row>
    <row r="1251" spans="1:32" ht="17.25" hidden="1" customHeight="1" thickBot="1">
      <c r="A1251" s="2014"/>
      <c r="B1251" s="2274" t="s">
        <v>1097</v>
      </c>
      <c r="C1251" s="1735"/>
      <c r="D1251" s="1736" t="s">
        <v>1098</v>
      </c>
      <c r="E1251" s="2275">
        <f>E1252+E1256</f>
        <v>36000</v>
      </c>
      <c r="F1251" s="2275">
        <f>F1252+F1256</f>
        <v>0</v>
      </c>
      <c r="G1251" s="2276">
        <f t="shared" si="228"/>
        <v>0</v>
      </c>
      <c r="H1251" s="1635">
        <f t="shared" si="243"/>
        <v>0</v>
      </c>
    </row>
    <row r="1252" spans="1:32" ht="17.25" hidden="1" customHeight="1">
      <c r="A1252" s="2014"/>
      <c r="B1252" s="3671"/>
      <c r="C1252" s="3472" t="s">
        <v>755</v>
      </c>
      <c r="D1252" s="3664"/>
      <c r="E1252" s="2277">
        <f>E1253</f>
        <v>12000</v>
      </c>
      <c r="F1252" s="2277">
        <f>F1253</f>
        <v>0</v>
      </c>
      <c r="G1252" s="2278">
        <f t="shared" si="228"/>
        <v>0</v>
      </c>
      <c r="H1252" s="1635">
        <f t="shared" si="243"/>
        <v>0</v>
      </c>
      <c r="AF1252" s="2279"/>
    </row>
    <row r="1253" spans="1:32" ht="17.25" hidden="1" customHeight="1">
      <c r="A1253" s="2014"/>
      <c r="B1253" s="3672"/>
      <c r="C1253" s="3656" t="s">
        <v>857</v>
      </c>
      <c r="D1253" s="3675"/>
      <c r="E1253" s="1904">
        <f>E1254</f>
        <v>12000</v>
      </c>
      <c r="F1253" s="1904">
        <f>F1254</f>
        <v>0</v>
      </c>
      <c r="G1253" s="2278">
        <f t="shared" si="228"/>
        <v>0</v>
      </c>
      <c r="H1253" s="1635">
        <f t="shared" si="243"/>
        <v>0</v>
      </c>
      <c r="AF1253" s="2279"/>
    </row>
    <row r="1254" spans="1:32" ht="31.5" hidden="1" customHeight="1">
      <c r="A1254" s="2014"/>
      <c r="B1254" s="3672"/>
      <c r="C1254" s="2228" t="s">
        <v>394</v>
      </c>
      <c r="D1254" s="2280" t="s">
        <v>978</v>
      </c>
      <c r="E1254" s="2215">
        <v>12000</v>
      </c>
      <c r="F1254" s="2215">
        <f>H1254</f>
        <v>0</v>
      </c>
      <c r="G1254" s="2278">
        <f t="shared" si="228"/>
        <v>0</v>
      </c>
      <c r="H1254" s="1635">
        <f t="shared" si="243"/>
        <v>0</v>
      </c>
      <c r="AF1254" s="2279"/>
    </row>
    <row r="1255" spans="1:32" ht="17.25" hidden="1" customHeight="1">
      <c r="A1255" s="2014"/>
      <c r="B1255" s="3672"/>
      <c r="C1255" s="3676"/>
      <c r="D1255" s="3676"/>
      <c r="E1255" s="2281"/>
      <c r="F1255" s="2281"/>
      <c r="G1255" s="2282"/>
    </row>
    <row r="1256" spans="1:32" ht="15" hidden="1" customHeight="1">
      <c r="A1256" s="2014"/>
      <c r="B1256" s="3673"/>
      <c r="C1256" s="3497" t="s">
        <v>810</v>
      </c>
      <c r="D1256" s="3667"/>
      <c r="E1256" s="2283">
        <f>E1257</f>
        <v>24000</v>
      </c>
      <c r="F1256" s="1894">
        <f t="shared" ref="F1256:F1257" si="252">F1257</f>
        <v>0</v>
      </c>
      <c r="G1256" s="2284">
        <f t="shared" si="228"/>
        <v>0</v>
      </c>
      <c r="H1256" s="1635">
        <f t="shared" si="243"/>
        <v>0</v>
      </c>
    </row>
    <row r="1257" spans="1:32" ht="18" hidden="1" customHeight="1">
      <c r="A1257" s="2014"/>
      <c r="B1257" s="3673"/>
      <c r="C1257" s="3656" t="s">
        <v>811</v>
      </c>
      <c r="D1257" s="3668"/>
      <c r="E1257" s="2285">
        <f>E1258</f>
        <v>24000</v>
      </c>
      <c r="F1257" s="2286">
        <f t="shared" si="252"/>
        <v>0</v>
      </c>
      <c r="G1257" s="2278">
        <f t="shared" si="228"/>
        <v>0</v>
      </c>
      <c r="H1257" s="1635">
        <f t="shared" si="243"/>
        <v>0</v>
      </c>
    </row>
    <row r="1258" spans="1:32" ht="43.5" hidden="1" customHeight="1" thickBot="1">
      <c r="A1258" s="2014"/>
      <c r="B1258" s="3674"/>
      <c r="C1258" s="1706" t="s">
        <v>938</v>
      </c>
      <c r="D1258" s="2011" t="s">
        <v>939</v>
      </c>
      <c r="E1258" s="1970">
        <v>24000</v>
      </c>
      <c r="F1258" s="2287">
        <f>H1258</f>
        <v>0</v>
      </c>
      <c r="G1258" s="1971">
        <f t="shared" si="228"/>
        <v>0</v>
      </c>
      <c r="H1258" s="1635">
        <f t="shared" si="243"/>
        <v>0</v>
      </c>
    </row>
    <row r="1259" spans="1:32" ht="17.100000000000001" customHeight="1" thickBot="1">
      <c r="A1259" s="2288"/>
      <c r="B1259" s="1734" t="s">
        <v>1099</v>
      </c>
      <c r="C1259" s="1735"/>
      <c r="D1259" s="1736" t="s">
        <v>561</v>
      </c>
      <c r="E1259" s="1737">
        <f>E1260+E1291</f>
        <v>7775788</v>
      </c>
      <c r="F1259" s="1737">
        <f t="shared" ref="F1259" si="253">F1260+F1291</f>
        <v>7261371</v>
      </c>
      <c r="G1259" s="1738">
        <f t="shared" si="228"/>
        <v>0.93384374676881621</v>
      </c>
      <c r="H1259" s="1635">
        <f t="shared" si="243"/>
        <v>0</v>
      </c>
    </row>
    <row r="1260" spans="1:32" ht="17.100000000000001" customHeight="1">
      <c r="A1260" s="1666"/>
      <c r="B1260" s="1678"/>
      <c r="C1260" s="3472" t="s">
        <v>755</v>
      </c>
      <c r="D1260" s="3472"/>
      <c r="E1260" s="1672">
        <f>E1261+E1288</f>
        <v>7775788</v>
      </c>
      <c r="F1260" s="1672">
        <f t="shared" ref="F1260" si="254">F1261+F1288</f>
        <v>7261371</v>
      </c>
      <c r="G1260" s="1673">
        <f t="shared" si="228"/>
        <v>0.93384374676881621</v>
      </c>
      <c r="H1260" s="1635">
        <f t="shared" si="243"/>
        <v>0</v>
      </c>
    </row>
    <row r="1261" spans="1:32" ht="17.100000000000001" customHeight="1">
      <c r="A1261" s="1666"/>
      <c r="B1261" s="1678"/>
      <c r="C1261" s="3651" t="s">
        <v>756</v>
      </c>
      <c r="D1261" s="3651"/>
      <c r="E1261" s="1904">
        <f t="shared" ref="E1261:F1261" si="255">E1262+E1272</f>
        <v>7428862</v>
      </c>
      <c r="F1261" s="1904">
        <f t="shared" si="255"/>
        <v>7187521</v>
      </c>
      <c r="G1261" s="1905">
        <f t="shared" si="228"/>
        <v>0.96751305920072284</v>
      </c>
      <c r="H1261" s="1635">
        <f t="shared" si="243"/>
        <v>0</v>
      </c>
    </row>
    <row r="1262" spans="1:32" ht="17.100000000000001" customHeight="1">
      <c r="A1262" s="1666"/>
      <c r="B1262" s="1678"/>
      <c r="C1262" s="3669" t="s">
        <v>757</v>
      </c>
      <c r="D1262" s="3669"/>
      <c r="E1262" s="1906">
        <f>SUM(E1263:E1270)</f>
        <v>6986542</v>
      </c>
      <c r="F1262" s="1906">
        <f>SUM(F1263:F1270)</f>
        <v>6743045</v>
      </c>
      <c r="G1262" s="1907">
        <f t="shared" si="228"/>
        <v>0.96514770826540508</v>
      </c>
      <c r="H1262" s="1635">
        <f t="shared" si="243"/>
        <v>0</v>
      </c>
    </row>
    <row r="1263" spans="1:32" ht="17.100000000000001" customHeight="1">
      <c r="A1263" s="1666"/>
      <c r="B1263" s="1678"/>
      <c r="C1263" s="2145" t="s">
        <v>758</v>
      </c>
      <c r="D1263" s="2146" t="s">
        <v>759</v>
      </c>
      <c r="E1263" s="1904">
        <v>5377314</v>
      </c>
      <c r="F1263" s="1904">
        <f>H1263</f>
        <v>636409</v>
      </c>
      <c r="G1263" s="1905">
        <f t="shared" si="228"/>
        <v>0.11835072305615778</v>
      </c>
      <c r="H1263" s="1635">
        <f t="shared" si="243"/>
        <v>636409</v>
      </c>
      <c r="AC1263" s="1636">
        <v>636409</v>
      </c>
    </row>
    <row r="1264" spans="1:32" ht="17.100000000000001" customHeight="1">
      <c r="A1264" s="1666"/>
      <c r="B1264" s="1678"/>
      <c r="C1264" s="2145" t="s">
        <v>760</v>
      </c>
      <c r="D1264" s="2146" t="s">
        <v>761</v>
      </c>
      <c r="E1264" s="1904">
        <v>444995</v>
      </c>
      <c r="F1264" s="1904">
        <f t="shared" ref="F1264:F1268" si="256">H1264</f>
        <v>42690</v>
      </c>
      <c r="G1264" s="1905">
        <f t="shared" si="228"/>
        <v>9.5933662175979512E-2</v>
      </c>
      <c r="H1264" s="1635">
        <f t="shared" si="243"/>
        <v>42690</v>
      </c>
      <c r="AC1264" s="1636">
        <v>42690</v>
      </c>
    </row>
    <row r="1265" spans="1:29" ht="17.100000000000001" customHeight="1">
      <c r="A1265" s="1666"/>
      <c r="B1265" s="1678"/>
      <c r="C1265" s="2145" t="s">
        <v>762</v>
      </c>
      <c r="D1265" s="2146" t="s">
        <v>763</v>
      </c>
      <c r="E1265" s="1904">
        <v>1006513</v>
      </c>
      <c r="F1265" s="1904">
        <f t="shared" si="256"/>
        <v>1024938</v>
      </c>
      <c r="G1265" s="1905">
        <f t="shared" si="228"/>
        <v>1.0183057744907418</v>
      </c>
      <c r="H1265" s="1635">
        <f t="shared" si="243"/>
        <v>1024938</v>
      </c>
      <c r="AC1265" s="1636">
        <v>1024938</v>
      </c>
    </row>
    <row r="1266" spans="1:29" ht="17.100000000000001" customHeight="1">
      <c r="A1266" s="1666"/>
      <c r="B1266" s="1678"/>
      <c r="C1266" s="2145" t="s">
        <v>764</v>
      </c>
      <c r="D1266" s="2146" t="s">
        <v>1440</v>
      </c>
      <c r="E1266" s="1904">
        <v>136046</v>
      </c>
      <c r="F1266" s="1904">
        <f t="shared" si="256"/>
        <v>137683</v>
      </c>
      <c r="G1266" s="1905">
        <f t="shared" si="228"/>
        <v>1.0120326948238096</v>
      </c>
      <c r="H1266" s="1635">
        <f t="shared" si="243"/>
        <v>137683</v>
      </c>
      <c r="AC1266" s="1636">
        <v>137683</v>
      </c>
    </row>
    <row r="1267" spans="1:29" ht="17.100000000000001" customHeight="1">
      <c r="A1267" s="1666"/>
      <c r="B1267" s="1678"/>
      <c r="C1267" s="2145" t="s">
        <v>766</v>
      </c>
      <c r="D1267" s="2146" t="s">
        <v>1100</v>
      </c>
      <c r="E1267" s="1904">
        <v>10800</v>
      </c>
      <c r="F1267" s="1904">
        <f t="shared" si="256"/>
        <v>10800</v>
      </c>
      <c r="G1267" s="1905">
        <f t="shared" si="228"/>
        <v>1</v>
      </c>
      <c r="H1267" s="1635">
        <f t="shared" si="243"/>
        <v>10800</v>
      </c>
      <c r="AC1267" s="1636">
        <v>10800</v>
      </c>
    </row>
    <row r="1268" spans="1:29" ht="17.100000000000001" customHeight="1">
      <c r="A1268" s="1666"/>
      <c r="B1268" s="1678"/>
      <c r="C1268" s="2145" t="s">
        <v>768</v>
      </c>
      <c r="D1268" s="2146" t="s">
        <v>769</v>
      </c>
      <c r="E1268" s="1904">
        <v>10874</v>
      </c>
      <c r="F1268" s="1904">
        <f t="shared" si="256"/>
        <v>17368</v>
      </c>
      <c r="G1268" s="1905">
        <f t="shared" si="228"/>
        <v>1.5972043406290233</v>
      </c>
      <c r="H1268" s="1635">
        <f t="shared" si="243"/>
        <v>17368</v>
      </c>
      <c r="AC1268" s="1636">
        <v>17368</v>
      </c>
    </row>
    <row r="1269" spans="1:29" ht="17.100000000000001" customHeight="1">
      <c r="A1269" s="1666"/>
      <c r="B1269" s="1678"/>
      <c r="C1269" s="2145" t="s">
        <v>1101</v>
      </c>
      <c r="D1269" s="2146" t="s">
        <v>1102</v>
      </c>
      <c r="E1269" s="1904">
        <v>0</v>
      </c>
      <c r="F1269" s="1904">
        <f>H1269</f>
        <v>4496176</v>
      </c>
      <c r="G1269" s="1905"/>
      <c r="H1269" s="1635">
        <f t="shared" si="243"/>
        <v>4496176</v>
      </c>
      <c r="AC1269" s="1636">
        <v>4496176</v>
      </c>
    </row>
    <row r="1270" spans="1:29" ht="17.100000000000001" customHeight="1">
      <c r="A1270" s="1666"/>
      <c r="B1270" s="1678"/>
      <c r="C1270" s="2145" t="s">
        <v>1103</v>
      </c>
      <c r="D1270" s="2146" t="s">
        <v>1104</v>
      </c>
      <c r="E1270" s="1904">
        <v>0</v>
      </c>
      <c r="F1270" s="1904">
        <f>H1270</f>
        <v>376981</v>
      </c>
      <c r="G1270" s="1905"/>
      <c r="H1270" s="1635">
        <f t="shared" si="243"/>
        <v>376981</v>
      </c>
      <c r="AC1270" s="1636">
        <v>376981</v>
      </c>
    </row>
    <row r="1271" spans="1:29" ht="17.100000000000001" customHeight="1" thickBot="1">
      <c r="A1271" s="1792"/>
      <c r="B1271" s="1793"/>
      <c r="C1271" s="3070"/>
      <c r="D1271" s="3070"/>
      <c r="E1271" s="2766"/>
      <c r="F1271" s="2766"/>
      <c r="G1271" s="1684"/>
      <c r="H1271" s="1635">
        <f t="shared" si="243"/>
        <v>0</v>
      </c>
    </row>
    <row r="1272" spans="1:29" ht="17.100000000000001" customHeight="1">
      <c r="A1272" s="1666"/>
      <c r="B1272" s="1678"/>
      <c r="C1272" s="3670" t="s">
        <v>770</v>
      </c>
      <c r="D1272" s="3670"/>
      <c r="E1272" s="3089">
        <f>SUM(E1273:E1286)</f>
        <v>442320</v>
      </c>
      <c r="F1272" s="3089">
        <f>SUM(F1273:F1286)</f>
        <v>444476</v>
      </c>
      <c r="G1272" s="1907">
        <f t="shared" si="228"/>
        <v>1.0048742991499366</v>
      </c>
      <c r="H1272" s="1635">
        <f t="shared" si="243"/>
        <v>0</v>
      </c>
    </row>
    <row r="1273" spans="1:29" ht="17.100000000000001" hidden="1" customHeight="1">
      <c r="A1273" s="1666"/>
      <c r="B1273" s="1678"/>
      <c r="C1273" s="2145" t="s">
        <v>771</v>
      </c>
      <c r="D1273" s="2146" t="s">
        <v>772</v>
      </c>
      <c r="E1273" s="1906">
        <v>9400</v>
      </c>
      <c r="F1273" s="1906">
        <f>H1273</f>
        <v>0</v>
      </c>
      <c r="G1273" s="1907">
        <f t="shared" si="228"/>
        <v>0</v>
      </c>
      <c r="H1273" s="1635">
        <f t="shared" si="243"/>
        <v>0</v>
      </c>
      <c r="AC1273" s="1636">
        <v>0</v>
      </c>
    </row>
    <row r="1274" spans="1:29" ht="17.100000000000001" customHeight="1">
      <c r="A1274" s="1666"/>
      <c r="B1274" s="1678"/>
      <c r="C1274" s="2145" t="s">
        <v>773</v>
      </c>
      <c r="D1274" s="2146" t="s">
        <v>774</v>
      </c>
      <c r="E1274" s="1904">
        <v>11309</v>
      </c>
      <c r="F1274" s="1906">
        <f t="shared" ref="F1274:F1286" si="257">H1274</f>
        <v>11309</v>
      </c>
      <c r="G1274" s="1905">
        <f t="shared" ref="G1274:G1344" si="258">F1274/E1274</f>
        <v>1</v>
      </c>
      <c r="H1274" s="1635">
        <f t="shared" si="243"/>
        <v>11309</v>
      </c>
      <c r="AC1274" s="1636">
        <v>11309</v>
      </c>
    </row>
    <row r="1275" spans="1:29" ht="17.100000000000001" customHeight="1">
      <c r="A1275" s="1666"/>
      <c r="B1275" s="1678"/>
      <c r="C1275" s="2145" t="s">
        <v>983</v>
      </c>
      <c r="D1275" s="2146" t="s">
        <v>984</v>
      </c>
      <c r="E1275" s="1904">
        <v>9283</v>
      </c>
      <c r="F1275" s="1906">
        <f t="shared" si="257"/>
        <v>9283</v>
      </c>
      <c r="G1275" s="1905">
        <f t="shared" si="258"/>
        <v>1</v>
      </c>
      <c r="H1275" s="1635">
        <f t="shared" si="243"/>
        <v>9283</v>
      </c>
      <c r="AC1275" s="1636">
        <v>9283</v>
      </c>
    </row>
    <row r="1276" spans="1:29" ht="17.100000000000001" customHeight="1">
      <c r="A1276" s="1666"/>
      <c r="B1276" s="1678"/>
      <c r="C1276" s="2145" t="s">
        <v>777</v>
      </c>
      <c r="D1276" s="2146" t="s">
        <v>778</v>
      </c>
      <c r="E1276" s="1904">
        <v>26400</v>
      </c>
      <c r="F1276" s="1906">
        <f t="shared" si="257"/>
        <v>26400</v>
      </c>
      <c r="G1276" s="1905">
        <f t="shared" si="258"/>
        <v>1</v>
      </c>
      <c r="H1276" s="1635">
        <f t="shared" si="243"/>
        <v>26400</v>
      </c>
      <c r="AC1276" s="1636">
        <v>26400</v>
      </c>
    </row>
    <row r="1277" spans="1:29" ht="17.100000000000001" customHeight="1">
      <c r="A1277" s="1666"/>
      <c r="B1277" s="1678"/>
      <c r="C1277" s="2145" t="s">
        <v>779</v>
      </c>
      <c r="D1277" s="2146" t="s">
        <v>780</v>
      </c>
      <c r="E1277" s="1904">
        <v>3600</v>
      </c>
      <c r="F1277" s="1906">
        <f t="shared" si="257"/>
        <v>3600</v>
      </c>
      <c r="G1277" s="1905">
        <f t="shared" si="258"/>
        <v>1</v>
      </c>
      <c r="H1277" s="1635">
        <f t="shared" si="243"/>
        <v>3600</v>
      </c>
      <c r="AC1277" s="1636">
        <v>3600</v>
      </c>
    </row>
    <row r="1278" spans="1:29" ht="17.100000000000001" customHeight="1">
      <c r="A1278" s="1666"/>
      <c r="B1278" s="1678"/>
      <c r="C1278" s="2213" t="s">
        <v>781</v>
      </c>
      <c r="D1278" s="2214" t="s">
        <v>782</v>
      </c>
      <c r="E1278" s="1904">
        <v>4096</v>
      </c>
      <c r="F1278" s="1906">
        <f t="shared" si="257"/>
        <v>4096</v>
      </c>
      <c r="G1278" s="1905">
        <f t="shared" si="258"/>
        <v>1</v>
      </c>
      <c r="H1278" s="1635">
        <f t="shared" si="243"/>
        <v>4096</v>
      </c>
      <c r="AC1278" s="1636">
        <v>4096</v>
      </c>
    </row>
    <row r="1279" spans="1:29" ht="17.100000000000001" customHeight="1">
      <c r="A1279" s="1666"/>
      <c r="B1279" s="1678"/>
      <c r="C1279" s="1809" t="s">
        <v>783</v>
      </c>
      <c r="D1279" s="2202" t="s">
        <v>784</v>
      </c>
      <c r="E1279" s="1904">
        <v>23376</v>
      </c>
      <c r="F1279" s="1906">
        <f t="shared" si="257"/>
        <v>34176</v>
      </c>
      <c r="G1279" s="1905">
        <f t="shared" si="258"/>
        <v>1.462012320328542</v>
      </c>
      <c r="H1279" s="1635">
        <f t="shared" si="243"/>
        <v>34176</v>
      </c>
      <c r="AC1279" s="1636">
        <v>34176</v>
      </c>
    </row>
    <row r="1280" spans="1:29" ht="16.5" customHeight="1">
      <c r="A1280" s="1666"/>
      <c r="B1280" s="1678"/>
      <c r="C1280" s="1719" t="s">
        <v>785</v>
      </c>
      <c r="D1280" s="1720" t="s">
        <v>786</v>
      </c>
      <c r="E1280" s="1904">
        <v>7923</v>
      </c>
      <c r="F1280" s="1906">
        <f t="shared" si="257"/>
        <v>7100</v>
      </c>
      <c r="G1280" s="1905">
        <f t="shared" si="258"/>
        <v>0.89612520509907867</v>
      </c>
      <c r="H1280" s="1635">
        <f t="shared" si="243"/>
        <v>7100</v>
      </c>
      <c r="AC1280" s="1636">
        <v>7100</v>
      </c>
    </row>
    <row r="1281" spans="1:29" ht="24.75" customHeight="1">
      <c r="A1281" s="1666"/>
      <c r="B1281" s="1678"/>
      <c r="C1281" s="2246" t="s">
        <v>789</v>
      </c>
      <c r="D1281" s="2229" t="s">
        <v>790</v>
      </c>
      <c r="E1281" s="1904">
        <v>75030</v>
      </c>
      <c r="F1281" s="1906">
        <f t="shared" si="257"/>
        <v>104886</v>
      </c>
      <c r="G1281" s="1905">
        <f t="shared" si="258"/>
        <v>1.3979208316673331</v>
      </c>
      <c r="H1281" s="1635">
        <f t="shared" si="243"/>
        <v>104886</v>
      </c>
      <c r="AC1281" s="1636">
        <v>104886</v>
      </c>
    </row>
    <row r="1282" spans="1:29" ht="17.100000000000001" customHeight="1">
      <c r="A1282" s="1666"/>
      <c r="B1282" s="1678"/>
      <c r="C1282" s="1719" t="s">
        <v>791</v>
      </c>
      <c r="D1282" s="1720" t="s">
        <v>792</v>
      </c>
      <c r="E1282" s="1749">
        <v>3225</v>
      </c>
      <c r="F1282" s="1906">
        <f t="shared" si="257"/>
        <v>3225</v>
      </c>
      <c r="G1282" s="1750">
        <f t="shared" si="258"/>
        <v>1</v>
      </c>
      <c r="H1282" s="1635">
        <f t="shared" si="243"/>
        <v>3225</v>
      </c>
      <c r="AC1282" s="1636">
        <v>3225</v>
      </c>
    </row>
    <row r="1283" spans="1:29" ht="17.100000000000001" customHeight="1">
      <c r="A1283" s="1666"/>
      <c r="B1283" s="1678"/>
      <c r="C1283" s="2145" t="s">
        <v>795</v>
      </c>
      <c r="D1283" s="2146" t="s">
        <v>796</v>
      </c>
      <c r="E1283" s="1904">
        <v>264996</v>
      </c>
      <c r="F1283" s="1906">
        <f t="shared" si="257"/>
        <v>236989</v>
      </c>
      <c r="G1283" s="1905">
        <f t="shared" si="258"/>
        <v>0.89431161225075095</v>
      </c>
      <c r="H1283" s="1635">
        <f t="shared" si="243"/>
        <v>236989</v>
      </c>
      <c r="AC1283" s="1636">
        <v>236989</v>
      </c>
    </row>
    <row r="1284" spans="1:29" ht="17.100000000000001" hidden="1" customHeight="1">
      <c r="A1284" s="1666"/>
      <c r="B1284" s="1678"/>
      <c r="C1284" s="2145" t="s">
        <v>912</v>
      </c>
      <c r="D1284" s="2146" t="s">
        <v>913</v>
      </c>
      <c r="E1284" s="1904">
        <v>270</v>
      </c>
      <c r="F1284" s="1906">
        <f t="shared" si="257"/>
        <v>0</v>
      </c>
      <c r="G1284" s="1905">
        <f t="shared" si="258"/>
        <v>0</v>
      </c>
      <c r="H1284" s="1635">
        <f t="shared" si="243"/>
        <v>0</v>
      </c>
      <c r="AC1284" s="1636">
        <v>0</v>
      </c>
    </row>
    <row r="1285" spans="1:29" ht="17.100000000000001" hidden="1" customHeight="1">
      <c r="A1285" s="1666"/>
      <c r="B1285" s="1678"/>
      <c r="C1285" s="2145" t="s">
        <v>874</v>
      </c>
      <c r="D1285" s="2146" t="s">
        <v>875</v>
      </c>
      <c r="E1285" s="1904"/>
      <c r="F1285" s="1906">
        <f t="shared" si="257"/>
        <v>0</v>
      </c>
      <c r="G1285" s="1905" t="e">
        <f t="shared" si="258"/>
        <v>#DIV/0!</v>
      </c>
      <c r="H1285" s="1635">
        <f t="shared" si="243"/>
        <v>0</v>
      </c>
    </row>
    <row r="1286" spans="1:29" ht="27" customHeight="1">
      <c r="A1286" s="1666"/>
      <c r="B1286" s="3519"/>
      <c r="C1286" s="2145" t="s">
        <v>805</v>
      </c>
      <c r="D1286" s="2146" t="s">
        <v>806</v>
      </c>
      <c r="E1286" s="1904">
        <v>3412</v>
      </c>
      <c r="F1286" s="1906">
        <f t="shared" si="257"/>
        <v>3412</v>
      </c>
      <c r="G1286" s="1905">
        <f t="shared" si="258"/>
        <v>1</v>
      </c>
      <c r="H1286" s="1635">
        <f t="shared" si="243"/>
        <v>3412</v>
      </c>
      <c r="AC1286" s="1636">
        <v>3412</v>
      </c>
    </row>
    <row r="1287" spans="1:29" ht="17.100000000000001" customHeight="1">
      <c r="A1287" s="1666"/>
      <c r="B1287" s="3519"/>
      <c r="C1287" s="1699"/>
      <c r="D1287" s="1699"/>
      <c r="E1287" s="1683"/>
      <c r="F1287" s="1683"/>
      <c r="G1287" s="1684"/>
      <c r="H1287" s="1635">
        <f t="shared" si="243"/>
        <v>0</v>
      </c>
    </row>
    <row r="1288" spans="1:29" ht="17.100000000000001" customHeight="1">
      <c r="A1288" s="1666"/>
      <c r="B1288" s="3519"/>
      <c r="C1288" s="3656" t="s">
        <v>1042</v>
      </c>
      <c r="D1288" s="3656"/>
      <c r="E1288" s="1904">
        <f t="shared" ref="E1288:F1288" si="259">E1289</f>
        <v>346926</v>
      </c>
      <c r="F1288" s="1904">
        <f t="shared" si="259"/>
        <v>73850</v>
      </c>
      <c r="G1288" s="1905">
        <f t="shared" si="258"/>
        <v>0.21286960331598093</v>
      </c>
      <c r="H1288" s="1635">
        <f t="shared" si="243"/>
        <v>0</v>
      </c>
    </row>
    <row r="1289" spans="1:29" ht="17.100000000000001" customHeight="1" thickBot="1">
      <c r="A1289" s="1666"/>
      <c r="B1289" s="3519"/>
      <c r="C1289" s="2213" t="s">
        <v>808</v>
      </c>
      <c r="D1289" s="2214" t="s">
        <v>809</v>
      </c>
      <c r="E1289" s="2215">
        <v>346926</v>
      </c>
      <c r="F1289" s="2215">
        <f>H1289</f>
        <v>73850</v>
      </c>
      <c r="G1289" s="2208">
        <f t="shared" si="258"/>
        <v>0.21286960331598093</v>
      </c>
      <c r="H1289" s="1635">
        <f t="shared" si="243"/>
        <v>73850</v>
      </c>
      <c r="AC1289" s="1636">
        <v>73850</v>
      </c>
    </row>
    <row r="1290" spans="1:29" ht="17.100000000000001" hidden="1" customHeight="1">
      <c r="A1290" s="1666"/>
      <c r="B1290" s="1678"/>
      <c r="C1290" s="2290"/>
      <c r="D1290" s="2291"/>
      <c r="E1290" s="1904"/>
      <c r="F1290" s="1904"/>
      <c r="G1290" s="1905"/>
      <c r="H1290" s="1635">
        <f t="shared" si="243"/>
        <v>0</v>
      </c>
    </row>
    <row r="1291" spans="1:29" ht="17.100000000000001" hidden="1" customHeight="1">
      <c r="A1291" s="1666"/>
      <c r="B1291" s="1678"/>
      <c r="C1291" s="3677" t="s">
        <v>810</v>
      </c>
      <c r="D1291" s="3678"/>
      <c r="E1291" s="2053">
        <f t="shared" ref="E1291:F1291" si="260">E1292</f>
        <v>0</v>
      </c>
      <c r="F1291" s="2053">
        <f t="shared" si="260"/>
        <v>0</v>
      </c>
      <c r="G1291" s="2054" t="e">
        <f t="shared" si="258"/>
        <v>#DIV/0!</v>
      </c>
      <c r="H1291" s="1635">
        <f t="shared" si="243"/>
        <v>0</v>
      </c>
    </row>
    <row r="1292" spans="1:29" ht="17.100000000000001" hidden="1" customHeight="1">
      <c r="A1292" s="1666"/>
      <c r="B1292" s="1678"/>
      <c r="C1292" s="3679" t="s">
        <v>811</v>
      </c>
      <c r="D1292" s="3680"/>
      <c r="E1292" s="2039">
        <f>SUM(E1293)</f>
        <v>0</v>
      </c>
      <c r="F1292" s="2039">
        <f t="shared" ref="F1292" si="261">SUM(F1293)</f>
        <v>0</v>
      </c>
      <c r="G1292" s="1905" t="e">
        <f t="shared" si="258"/>
        <v>#DIV/0!</v>
      </c>
      <c r="H1292" s="1635">
        <f t="shared" si="243"/>
        <v>0</v>
      </c>
    </row>
    <row r="1293" spans="1:29" ht="15.75" hidden="1" customHeight="1" thickBot="1">
      <c r="A1293" s="1666"/>
      <c r="B1293" s="1678"/>
      <c r="C1293" s="2213" t="s">
        <v>812</v>
      </c>
      <c r="D1293" s="2214" t="s">
        <v>861</v>
      </c>
      <c r="E1293" s="2292"/>
      <c r="F1293" s="2292">
        <f>H1293</f>
        <v>0</v>
      </c>
      <c r="G1293" s="2208" t="e">
        <f t="shared" si="258"/>
        <v>#DIV/0!</v>
      </c>
      <c r="H1293" s="1635">
        <f t="shared" si="243"/>
        <v>0</v>
      </c>
    </row>
    <row r="1294" spans="1:29" ht="15.75" hidden="1" customHeight="1" thickBot="1">
      <c r="A1294" s="1666"/>
      <c r="B1294" s="1734" t="s">
        <v>1105</v>
      </c>
      <c r="C1294" s="1735"/>
      <c r="D1294" s="1736" t="s">
        <v>1106</v>
      </c>
      <c r="E1294" s="1737">
        <f>E1295+E1299</f>
        <v>0</v>
      </c>
      <c r="F1294" s="1737">
        <f>F1295+F1299</f>
        <v>0</v>
      </c>
      <c r="G1294" s="1738" t="e">
        <f t="shared" si="258"/>
        <v>#DIV/0!</v>
      </c>
      <c r="H1294" s="1635">
        <f t="shared" si="243"/>
        <v>0</v>
      </c>
    </row>
    <row r="1295" spans="1:29" ht="18" hidden="1" customHeight="1">
      <c r="A1295" s="1666"/>
      <c r="B1295" s="1678"/>
      <c r="C1295" s="3472" t="s">
        <v>755</v>
      </c>
      <c r="D1295" s="3472"/>
      <c r="E1295" s="2226">
        <f>E1296</f>
        <v>0</v>
      </c>
      <c r="F1295" s="2226">
        <f>F1296</f>
        <v>0</v>
      </c>
      <c r="G1295" s="2227" t="e">
        <f t="shared" si="258"/>
        <v>#DIV/0!</v>
      </c>
      <c r="H1295" s="1635">
        <f t="shared" si="243"/>
        <v>0</v>
      </c>
    </row>
    <row r="1296" spans="1:29" ht="12.75" hidden="1" customHeight="1">
      <c r="A1296" s="1666"/>
      <c r="B1296" s="1678"/>
      <c r="C1296" s="3656" t="s">
        <v>857</v>
      </c>
      <c r="D1296" s="3656"/>
      <c r="E1296" s="2222">
        <f>E1297</f>
        <v>0</v>
      </c>
      <c r="F1296" s="2222">
        <f t="shared" ref="F1296" si="262">F1297</f>
        <v>0</v>
      </c>
      <c r="G1296" s="2223" t="e">
        <f t="shared" si="258"/>
        <v>#DIV/0!</v>
      </c>
      <c r="H1296" s="1635">
        <f t="shared" si="243"/>
        <v>0</v>
      </c>
    </row>
    <row r="1297" spans="1:8" ht="32.25" hidden="1" customHeight="1">
      <c r="A1297" s="1666"/>
      <c r="B1297" s="1678"/>
      <c r="C1297" s="2246" t="s">
        <v>394</v>
      </c>
      <c r="D1297" s="2229" t="s">
        <v>978</v>
      </c>
      <c r="E1297" s="2222"/>
      <c r="F1297" s="2222">
        <f>H1297</f>
        <v>0</v>
      </c>
      <c r="G1297" s="2223" t="e">
        <f t="shared" si="258"/>
        <v>#DIV/0!</v>
      </c>
      <c r="H1297" s="1635">
        <f t="shared" si="243"/>
        <v>0</v>
      </c>
    </row>
    <row r="1298" spans="1:8" ht="15.75" hidden="1" customHeight="1">
      <c r="A1298" s="1666"/>
      <c r="B1298" s="1678"/>
      <c r="C1298" s="3681" t="s">
        <v>810</v>
      </c>
      <c r="D1298" s="3664"/>
      <c r="E1298" s="1672">
        <f>E1299</f>
        <v>0</v>
      </c>
      <c r="F1298" s="1672">
        <f t="shared" ref="F1298" si="263">F1299+F1312</f>
        <v>0</v>
      </c>
      <c r="G1298" s="1673" t="e">
        <f t="shared" si="258"/>
        <v>#DIV/0!</v>
      </c>
      <c r="H1298" s="1635">
        <f t="shared" si="243"/>
        <v>0</v>
      </c>
    </row>
    <row r="1299" spans="1:8" ht="15.75" hidden="1" customHeight="1">
      <c r="A1299" s="1666"/>
      <c r="B1299" s="1678"/>
      <c r="C1299" s="3682" t="s">
        <v>811</v>
      </c>
      <c r="D1299" s="3675"/>
      <c r="E1299" s="2044">
        <f>E1300</f>
        <v>0</v>
      </c>
      <c r="F1299" s="2044">
        <f>F1300</f>
        <v>0</v>
      </c>
      <c r="G1299" s="1750" t="e">
        <f t="shared" si="258"/>
        <v>#DIV/0!</v>
      </c>
      <c r="H1299" s="1635">
        <f t="shared" si="243"/>
        <v>0</v>
      </c>
    </row>
    <row r="1300" spans="1:8" ht="50.25" hidden="1" customHeight="1" thickBot="1">
      <c r="A1300" s="1666"/>
      <c r="B1300" s="1678"/>
      <c r="C1300" s="2216" t="s">
        <v>938</v>
      </c>
      <c r="D1300" s="2217" t="s">
        <v>939</v>
      </c>
      <c r="E1300" s="2107"/>
      <c r="F1300" s="2107">
        <f>H1300</f>
        <v>0</v>
      </c>
      <c r="G1300" s="1750" t="e">
        <f t="shared" si="258"/>
        <v>#DIV/0!</v>
      </c>
      <c r="H1300" s="1635">
        <f t="shared" ref="H1300:H1369" si="264">SUM(I1300:AE1300)</f>
        <v>0</v>
      </c>
    </row>
    <row r="1301" spans="1:8" ht="17.100000000000001" hidden="1" customHeight="1" thickBot="1">
      <c r="A1301" s="1666"/>
      <c r="B1301" s="1734" t="s">
        <v>1107</v>
      </c>
      <c r="C1301" s="1735"/>
      <c r="D1301" s="1736" t="s">
        <v>1108</v>
      </c>
      <c r="E1301" s="1737">
        <f>E1302</f>
        <v>0</v>
      </c>
      <c r="F1301" s="1737">
        <f t="shared" ref="F1301" si="265">F1302</f>
        <v>0</v>
      </c>
      <c r="G1301" s="1738" t="e">
        <f t="shared" si="258"/>
        <v>#DIV/0!</v>
      </c>
      <c r="H1301" s="1635">
        <f t="shared" si="264"/>
        <v>0</v>
      </c>
    </row>
    <row r="1302" spans="1:8" ht="17.100000000000001" hidden="1" customHeight="1">
      <c r="A1302" s="1666"/>
      <c r="B1302" s="3519"/>
      <c r="C1302" s="3472" t="s">
        <v>755</v>
      </c>
      <c r="D1302" s="3472"/>
      <c r="E1302" s="1672">
        <f>E1303+E1316</f>
        <v>0</v>
      </c>
      <c r="F1302" s="1672">
        <f t="shared" ref="F1302" si="266">F1303+F1316</f>
        <v>0</v>
      </c>
      <c r="G1302" s="1673" t="e">
        <f t="shared" si="258"/>
        <v>#DIV/0!</v>
      </c>
      <c r="H1302" s="1635">
        <f t="shared" si="264"/>
        <v>0</v>
      </c>
    </row>
    <row r="1303" spans="1:8" ht="17.100000000000001" hidden="1" customHeight="1">
      <c r="A1303" s="1666"/>
      <c r="B1303" s="3519"/>
      <c r="C1303" s="3651" t="s">
        <v>756</v>
      </c>
      <c r="D1303" s="3651"/>
      <c r="E1303" s="1904">
        <f>E1304+E1310</f>
        <v>0</v>
      </c>
      <c r="F1303" s="1904">
        <f t="shared" ref="F1303" si="267">F1304+F1310</f>
        <v>0</v>
      </c>
      <c r="G1303" s="1905" t="e">
        <f t="shared" si="258"/>
        <v>#DIV/0!</v>
      </c>
      <c r="H1303" s="1635">
        <f t="shared" si="264"/>
        <v>0</v>
      </c>
    </row>
    <row r="1304" spans="1:8" ht="17.100000000000001" hidden="1" customHeight="1">
      <c r="A1304" s="1666"/>
      <c r="B1304" s="3519"/>
      <c r="C1304" s="3669" t="s">
        <v>757</v>
      </c>
      <c r="D1304" s="3669"/>
      <c r="E1304" s="1906">
        <f>SUM(E1305:E1308)</f>
        <v>0</v>
      </c>
      <c r="F1304" s="1906">
        <f t="shared" ref="F1304" si="268">SUM(F1305:F1308)</f>
        <v>0</v>
      </c>
      <c r="G1304" s="1907" t="e">
        <f t="shared" si="258"/>
        <v>#DIV/0!</v>
      </c>
      <c r="H1304" s="1635">
        <f t="shared" si="264"/>
        <v>0</v>
      </c>
    </row>
    <row r="1305" spans="1:8" ht="17.100000000000001" hidden="1" customHeight="1">
      <c r="A1305" s="1666"/>
      <c r="B1305" s="3519"/>
      <c r="C1305" s="2145" t="s">
        <v>758</v>
      </c>
      <c r="D1305" s="2146" t="s">
        <v>759</v>
      </c>
      <c r="E1305" s="1904">
        <v>0</v>
      </c>
      <c r="F1305" s="1904">
        <f>H1305</f>
        <v>0</v>
      </c>
      <c r="G1305" s="1905" t="e">
        <f t="shared" si="258"/>
        <v>#DIV/0!</v>
      </c>
      <c r="H1305" s="1635">
        <f t="shared" si="264"/>
        <v>0</v>
      </c>
    </row>
    <row r="1306" spans="1:8" ht="17.100000000000001" hidden="1" customHeight="1">
      <c r="A1306" s="1666"/>
      <c r="B1306" s="3519"/>
      <c r="C1306" s="2145" t="s">
        <v>760</v>
      </c>
      <c r="D1306" s="2146" t="s">
        <v>761</v>
      </c>
      <c r="E1306" s="1904">
        <v>0</v>
      </c>
      <c r="F1306" s="1904">
        <f t="shared" ref="F1306:F1308" si="269">H1306</f>
        <v>0</v>
      </c>
      <c r="G1306" s="1905" t="e">
        <f t="shared" si="258"/>
        <v>#DIV/0!</v>
      </c>
      <c r="H1306" s="1635">
        <f t="shared" si="264"/>
        <v>0</v>
      </c>
    </row>
    <row r="1307" spans="1:8" ht="17.100000000000001" hidden="1" customHeight="1">
      <c r="A1307" s="1666"/>
      <c r="B1307" s="3519"/>
      <c r="C1307" s="2145" t="s">
        <v>762</v>
      </c>
      <c r="D1307" s="2146" t="s">
        <v>763</v>
      </c>
      <c r="E1307" s="1904">
        <v>0</v>
      </c>
      <c r="F1307" s="1904">
        <f t="shared" si="269"/>
        <v>0</v>
      </c>
      <c r="G1307" s="1905" t="e">
        <f t="shared" si="258"/>
        <v>#DIV/0!</v>
      </c>
      <c r="H1307" s="1635">
        <f t="shared" si="264"/>
        <v>0</v>
      </c>
    </row>
    <row r="1308" spans="1:8" ht="27" hidden="1" customHeight="1">
      <c r="A1308" s="1666"/>
      <c r="B1308" s="3519"/>
      <c r="C1308" s="2145" t="s">
        <v>764</v>
      </c>
      <c r="D1308" s="2146" t="s">
        <v>765</v>
      </c>
      <c r="E1308" s="1904">
        <v>0</v>
      </c>
      <c r="F1308" s="1904">
        <f t="shared" si="269"/>
        <v>0</v>
      </c>
      <c r="G1308" s="1905" t="e">
        <f t="shared" si="258"/>
        <v>#DIV/0!</v>
      </c>
      <c r="H1308" s="1635">
        <f t="shared" si="264"/>
        <v>0</v>
      </c>
    </row>
    <row r="1309" spans="1:8" ht="17.100000000000001" hidden="1" customHeight="1">
      <c r="A1309" s="1666"/>
      <c r="B1309" s="3519"/>
      <c r="C1309" s="1699"/>
      <c r="D1309" s="1699"/>
      <c r="E1309" s="1683"/>
      <c r="F1309" s="1683"/>
      <c r="G1309" s="1684"/>
      <c r="H1309" s="1635">
        <f t="shared" si="264"/>
        <v>0</v>
      </c>
    </row>
    <row r="1310" spans="1:8" ht="17.100000000000001" hidden="1" customHeight="1">
      <c r="A1310" s="1666"/>
      <c r="B1310" s="3519"/>
      <c r="C1310" s="3652" t="s">
        <v>770</v>
      </c>
      <c r="D1310" s="3652"/>
      <c r="E1310" s="1906">
        <f>SUM(E1311:E1314)</f>
        <v>0</v>
      </c>
      <c r="F1310" s="1906">
        <f>SUM(F1311:F1314)</f>
        <v>0</v>
      </c>
      <c r="G1310" s="1907" t="e">
        <f t="shared" si="258"/>
        <v>#DIV/0!</v>
      </c>
      <c r="H1310" s="1635">
        <f t="shared" si="264"/>
        <v>0</v>
      </c>
    </row>
    <row r="1311" spans="1:8" ht="17.100000000000001" hidden="1" customHeight="1">
      <c r="A1311" s="1666"/>
      <c r="B1311" s="3519"/>
      <c r="C1311" s="2145" t="s">
        <v>773</v>
      </c>
      <c r="D1311" s="2146" t="s">
        <v>774</v>
      </c>
      <c r="E1311" s="1904">
        <v>0</v>
      </c>
      <c r="F1311" s="1904">
        <f>H1311</f>
        <v>0</v>
      </c>
      <c r="G1311" s="1905" t="e">
        <f t="shared" si="258"/>
        <v>#DIV/0!</v>
      </c>
      <c r="H1311" s="1635">
        <f t="shared" si="264"/>
        <v>0</v>
      </c>
    </row>
    <row r="1312" spans="1:8" ht="17.100000000000001" hidden="1" customHeight="1">
      <c r="A1312" s="1666"/>
      <c r="B1312" s="3519"/>
      <c r="C1312" s="2145" t="s">
        <v>983</v>
      </c>
      <c r="D1312" s="2146" t="s">
        <v>984</v>
      </c>
      <c r="E1312" s="1904">
        <v>0</v>
      </c>
      <c r="F1312" s="1904">
        <f t="shared" ref="F1312:F1314" si="270">H1312</f>
        <v>0</v>
      </c>
      <c r="G1312" s="1905" t="e">
        <f t="shared" si="258"/>
        <v>#DIV/0!</v>
      </c>
      <c r="H1312" s="1635">
        <f t="shared" si="264"/>
        <v>0</v>
      </c>
    </row>
    <row r="1313" spans="1:29" ht="17.100000000000001" hidden="1" customHeight="1">
      <c r="A1313" s="1666"/>
      <c r="B1313" s="3519"/>
      <c r="C1313" s="2145" t="s">
        <v>781</v>
      </c>
      <c r="D1313" s="2146" t="s">
        <v>782</v>
      </c>
      <c r="E1313" s="1904">
        <v>0</v>
      </c>
      <c r="F1313" s="1904">
        <f t="shared" si="270"/>
        <v>0</v>
      </c>
      <c r="G1313" s="1905" t="e">
        <f t="shared" si="258"/>
        <v>#DIV/0!</v>
      </c>
      <c r="H1313" s="1635">
        <f t="shared" si="264"/>
        <v>0</v>
      </c>
    </row>
    <row r="1314" spans="1:29" ht="17.100000000000001" hidden="1" customHeight="1">
      <c r="A1314" s="1666"/>
      <c r="B1314" s="3519"/>
      <c r="C1314" s="2145" t="s">
        <v>795</v>
      </c>
      <c r="D1314" s="2146" t="s">
        <v>796</v>
      </c>
      <c r="E1314" s="1904">
        <v>0</v>
      </c>
      <c r="F1314" s="1904">
        <f t="shared" si="270"/>
        <v>0</v>
      </c>
      <c r="G1314" s="1905" t="e">
        <f t="shared" si="258"/>
        <v>#DIV/0!</v>
      </c>
      <c r="H1314" s="1635">
        <f t="shared" si="264"/>
        <v>0</v>
      </c>
    </row>
    <row r="1315" spans="1:29" ht="17.100000000000001" hidden="1" customHeight="1">
      <c r="A1315" s="1666"/>
      <c r="B1315" s="3519"/>
      <c r="C1315" s="2293"/>
      <c r="D1315" s="1797"/>
      <c r="E1315" s="1798"/>
      <c r="F1315" s="1798"/>
      <c r="G1315" s="1784"/>
      <c r="H1315" s="1635">
        <f t="shared" si="264"/>
        <v>0</v>
      </c>
    </row>
    <row r="1316" spans="1:29" ht="17.100000000000001" hidden="1" customHeight="1">
      <c r="A1316" s="1666"/>
      <c r="B1316" s="3519"/>
      <c r="C1316" s="3486" t="s">
        <v>1042</v>
      </c>
      <c r="D1316" s="3486"/>
      <c r="E1316" s="1749">
        <f t="shared" ref="E1316:F1316" si="271">E1317</f>
        <v>0</v>
      </c>
      <c r="F1316" s="1749">
        <f t="shared" si="271"/>
        <v>0</v>
      </c>
      <c r="G1316" s="1750" t="e">
        <f t="shared" si="258"/>
        <v>#DIV/0!</v>
      </c>
      <c r="H1316" s="1635">
        <f t="shared" si="264"/>
        <v>0</v>
      </c>
    </row>
    <row r="1317" spans="1:29" ht="17.25" hidden="1" customHeight="1" thickBot="1">
      <c r="A1317" s="1666"/>
      <c r="B1317" s="3519"/>
      <c r="C1317" s="2294" t="s">
        <v>808</v>
      </c>
      <c r="D1317" s="2217" t="s">
        <v>809</v>
      </c>
      <c r="E1317" s="1694">
        <v>0</v>
      </c>
      <c r="F1317" s="1694">
        <f>H1317</f>
        <v>0</v>
      </c>
      <c r="G1317" s="1695" t="e">
        <f t="shared" si="258"/>
        <v>#DIV/0!</v>
      </c>
      <c r="H1317" s="1635">
        <f t="shared" si="264"/>
        <v>0</v>
      </c>
    </row>
    <row r="1318" spans="1:29" ht="17.100000000000001" hidden="1" customHeight="1" thickBot="1">
      <c r="A1318" s="1666"/>
      <c r="B1318" s="1734" t="s">
        <v>1109</v>
      </c>
      <c r="C1318" s="1735"/>
      <c r="D1318" s="1736" t="s">
        <v>565</v>
      </c>
      <c r="E1318" s="1737">
        <f>E1319</f>
        <v>0</v>
      </c>
      <c r="F1318" s="1737">
        <f t="shared" ref="F1318" si="272">F1319</f>
        <v>0</v>
      </c>
      <c r="G1318" s="1738" t="e">
        <f t="shared" si="258"/>
        <v>#DIV/0!</v>
      </c>
      <c r="H1318" s="1635">
        <f t="shared" si="264"/>
        <v>0</v>
      </c>
    </row>
    <row r="1319" spans="1:29" ht="17.100000000000001" hidden="1" customHeight="1">
      <c r="A1319" s="1666"/>
      <c r="B1319" s="1678"/>
      <c r="C1319" s="3472" t="s">
        <v>755</v>
      </c>
      <c r="D1319" s="3472"/>
      <c r="E1319" s="1688">
        <f>E1320</f>
        <v>0</v>
      </c>
      <c r="F1319" s="1688">
        <f>F1320</f>
        <v>0</v>
      </c>
      <c r="G1319" s="1689" t="e">
        <f>F1319/E1319</f>
        <v>#DIV/0!</v>
      </c>
      <c r="H1319" s="1635">
        <f t="shared" si="264"/>
        <v>0</v>
      </c>
    </row>
    <row r="1320" spans="1:29" ht="17.100000000000001" hidden="1" customHeight="1">
      <c r="A1320" s="1666"/>
      <c r="B1320" s="1678"/>
      <c r="C1320" s="3651" t="s">
        <v>756</v>
      </c>
      <c r="D1320" s="3651"/>
      <c r="E1320" s="2215">
        <f>E1321</f>
        <v>0</v>
      </c>
      <c r="F1320" s="2215">
        <f>F1321</f>
        <v>0</v>
      </c>
      <c r="G1320" s="2208" t="e">
        <f t="shared" ref="G1320:G1322" si="273">F1320/E1320</f>
        <v>#DIV/0!</v>
      </c>
      <c r="H1320" s="1635">
        <f t="shared" si="264"/>
        <v>0</v>
      </c>
    </row>
    <row r="1321" spans="1:29" ht="17.100000000000001" hidden="1" customHeight="1">
      <c r="A1321" s="1666"/>
      <c r="B1321" s="1678"/>
      <c r="C1321" s="3652" t="s">
        <v>770</v>
      </c>
      <c r="D1321" s="3652"/>
      <c r="E1321" s="2215">
        <f>E1322</f>
        <v>0</v>
      </c>
      <c r="F1321" s="2215">
        <f>F1322</f>
        <v>0</v>
      </c>
      <c r="G1321" s="2208" t="e">
        <f t="shared" si="273"/>
        <v>#DIV/0!</v>
      </c>
      <c r="H1321" s="1635">
        <f t="shared" si="264"/>
        <v>0</v>
      </c>
    </row>
    <row r="1322" spans="1:29" ht="17.100000000000001" hidden="1" customHeight="1" thickBot="1">
      <c r="A1322" s="1666"/>
      <c r="B1322" s="1678"/>
      <c r="C1322" s="2145" t="s">
        <v>983</v>
      </c>
      <c r="D1322" s="2146" t="s">
        <v>984</v>
      </c>
      <c r="E1322" s="1694"/>
      <c r="F1322" s="1694">
        <f>H1322</f>
        <v>0</v>
      </c>
      <c r="G1322" s="1695" t="e">
        <f t="shared" si="273"/>
        <v>#DIV/0!</v>
      </c>
      <c r="H1322" s="1635">
        <f t="shared" si="264"/>
        <v>0</v>
      </c>
    </row>
    <row r="1323" spans="1:29" ht="17.100000000000001" customHeight="1" thickBot="1">
      <c r="A1323" s="1666"/>
      <c r="B1323" s="1734" t="s">
        <v>1110</v>
      </c>
      <c r="C1323" s="1735"/>
      <c r="D1323" s="1736" t="s">
        <v>1111</v>
      </c>
      <c r="E1323" s="1737">
        <f t="shared" ref="E1323:F1323" si="274">E1324</f>
        <v>1369083</v>
      </c>
      <c r="F1323" s="1737">
        <f t="shared" si="274"/>
        <v>1377404</v>
      </c>
      <c r="G1323" s="1738">
        <f t="shared" si="258"/>
        <v>1.0060777907548337</v>
      </c>
      <c r="H1323" s="1635">
        <f t="shared" si="264"/>
        <v>0</v>
      </c>
    </row>
    <row r="1324" spans="1:29" ht="17.100000000000001" customHeight="1">
      <c r="A1324" s="1666"/>
      <c r="B1324" s="3467"/>
      <c r="C1324" s="3472" t="s">
        <v>755</v>
      </c>
      <c r="D1324" s="3472"/>
      <c r="E1324" s="1672">
        <f>E1325+E1341</f>
        <v>1369083</v>
      </c>
      <c r="F1324" s="1672">
        <f>F1325+F1341</f>
        <v>1377404</v>
      </c>
      <c r="G1324" s="1673">
        <f t="shared" si="258"/>
        <v>1.0060777907548337</v>
      </c>
      <c r="H1324" s="1635">
        <f t="shared" si="264"/>
        <v>0</v>
      </c>
    </row>
    <row r="1325" spans="1:29" ht="17.100000000000001" customHeight="1">
      <c r="A1325" s="1666"/>
      <c r="B1325" s="3467"/>
      <c r="C1325" s="3651" t="s">
        <v>756</v>
      </c>
      <c r="D1325" s="3651"/>
      <c r="E1325" s="1904">
        <f>E1326+E1335</f>
        <v>1368549</v>
      </c>
      <c r="F1325" s="1904">
        <f>F1326+F1335</f>
        <v>1376870</v>
      </c>
      <c r="G1325" s="1905">
        <f t="shared" si="258"/>
        <v>1.0060801622740581</v>
      </c>
      <c r="H1325" s="1635">
        <f t="shared" si="264"/>
        <v>0</v>
      </c>
    </row>
    <row r="1326" spans="1:29" ht="17.100000000000001" customHeight="1">
      <c r="A1326" s="1666"/>
      <c r="B1326" s="3467"/>
      <c r="C1326" s="3669" t="s">
        <v>757</v>
      </c>
      <c r="D1326" s="3669"/>
      <c r="E1326" s="1906">
        <f>SUM(E1327:E1333)</f>
        <v>1313583</v>
      </c>
      <c r="F1326" s="1906">
        <f>SUM(F1327:F1333)</f>
        <v>1321904</v>
      </c>
      <c r="G1326" s="1907">
        <f t="shared" si="258"/>
        <v>1.0063345825882339</v>
      </c>
      <c r="H1326" s="1635">
        <f t="shared" si="264"/>
        <v>0</v>
      </c>
    </row>
    <row r="1327" spans="1:29" ht="17.100000000000001" hidden="1" customHeight="1">
      <c r="A1327" s="1666"/>
      <c r="B1327" s="3467"/>
      <c r="C1327" s="2145" t="s">
        <v>758</v>
      </c>
      <c r="D1327" s="2146" t="s">
        <v>759</v>
      </c>
      <c r="E1327" s="1904">
        <v>995723</v>
      </c>
      <c r="F1327" s="1904">
        <f>H1327</f>
        <v>0</v>
      </c>
      <c r="G1327" s="1905">
        <f t="shared" si="258"/>
        <v>0</v>
      </c>
      <c r="H1327" s="1635">
        <f t="shared" si="264"/>
        <v>0</v>
      </c>
      <c r="AC1327" s="1636">
        <v>0</v>
      </c>
    </row>
    <row r="1328" spans="1:29" ht="17.100000000000001" hidden="1" customHeight="1">
      <c r="A1328" s="1666"/>
      <c r="B1328" s="3467"/>
      <c r="C1328" s="2145" t="s">
        <v>760</v>
      </c>
      <c r="D1328" s="2146" t="s">
        <v>761</v>
      </c>
      <c r="E1328" s="1904">
        <v>76584</v>
      </c>
      <c r="F1328" s="1904">
        <f t="shared" ref="F1328:F1331" si="275">H1328</f>
        <v>0</v>
      </c>
      <c r="G1328" s="1905">
        <f t="shared" si="258"/>
        <v>0</v>
      </c>
      <c r="H1328" s="1635">
        <f t="shared" si="264"/>
        <v>0</v>
      </c>
      <c r="AC1328" s="1636">
        <v>0</v>
      </c>
    </row>
    <row r="1329" spans="1:29" ht="17.100000000000001" customHeight="1">
      <c r="A1329" s="1666"/>
      <c r="B1329" s="3467"/>
      <c r="C1329" s="2145" t="s">
        <v>762</v>
      </c>
      <c r="D1329" s="2146" t="s">
        <v>763</v>
      </c>
      <c r="E1329" s="1904">
        <v>204393</v>
      </c>
      <c r="F1329" s="1904">
        <f t="shared" si="275"/>
        <v>204393</v>
      </c>
      <c r="G1329" s="1905">
        <f t="shared" si="258"/>
        <v>1</v>
      </c>
      <c r="H1329" s="1635">
        <f t="shared" si="264"/>
        <v>204393</v>
      </c>
      <c r="AC1329" s="1636">
        <v>204393</v>
      </c>
    </row>
    <row r="1330" spans="1:29" ht="27" customHeight="1">
      <c r="A1330" s="1666"/>
      <c r="B1330" s="3467"/>
      <c r="C1330" s="2145" t="s">
        <v>764</v>
      </c>
      <c r="D1330" s="2146" t="s">
        <v>1440</v>
      </c>
      <c r="E1330" s="1904">
        <v>34183</v>
      </c>
      <c r="F1330" s="1904">
        <f t="shared" si="275"/>
        <v>34183</v>
      </c>
      <c r="G1330" s="1905">
        <f t="shared" si="258"/>
        <v>1</v>
      </c>
      <c r="H1330" s="1635">
        <f t="shared" si="264"/>
        <v>34183</v>
      </c>
      <c r="AC1330" s="1636">
        <v>34183</v>
      </c>
    </row>
    <row r="1331" spans="1:29" ht="27" customHeight="1">
      <c r="A1331" s="1666"/>
      <c r="B1331" s="3467"/>
      <c r="C1331" s="2145" t="s">
        <v>768</v>
      </c>
      <c r="D1331" s="2146" t="s">
        <v>769</v>
      </c>
      <c r="E1331" s="1904">
        <v>2700</v>
      </c>
      <c r="F1331" s="1904">
        <f t="shared" si="275"/>
        <v>5550</v>
      </c>
      <c r="G1331" s="1905">
        <f t="shared" si="258"/>
        <v>2.0555555555555554</v>
      </c>
      <c r="H1331" s="1635">
        <f t="shared" si="264"/>
        <v>5550</v>
      </c>
      <c r="AC1331" s="1636">
        <v>5550</v>
      </c>
    </row>
    <row r="1332" spans="1:29" ht="27" customHeight="1">
      <c r="A1332" s="1666"/>
      <c r="B1332" s="3467"/>
      <c r="C1332" s="2145" t="s">
        <v>1101</v>
      </c>
      <c r="D1332" s="2146" t="s">
        <v>1102</v>
      </c>
      <c r="E1332" s="1904">
        <v>0</v>
      </c>
      <c r="F1332" s="1904">
        <f>H1332</f>
        <v>1001194</v>
      </c>
      <c r="G1332" s="1905"/>
      <c r="H1332" s="1635">
        <f t="shared" si="264"/>
        <v>1001194</v>
      </c>
      <c r="AC1332" s="1636">
        <v>1001194</v>
      </c>
    </row>
    <row r="1333" spans="1:29" ht="27" customHeight="1">
      <c r="A1333" s="1666"/>
      <c r="B1333" s="3467"/>
      <c r="C1333" s="2145" t="s">
        <v>1103</v>
      </c>
      <c r="D1333" s="2146" t="s">
        <v>1104</v>
      </c>
      <c r="E1333" s="1904">
        <v>0</v>
      </c>
      <c r="F1333" s="1904">
        <f>H1333</f>
        <v>76584</v>
      </c>
      <c r="G1333" s="1905"/>
      <c r="H1333" s="1635">
        <f t="shared" si="264"/>
        <v>76584</v>
      </c>
      <c r="AC1333" s="1636">
        <v>76584</v>
      </c>
    </row>
    <row r="1334" spans="1:29" ht="17.100000000000001" customHeight="1">
      <c r="A1334" s="1666"/>
      <c r="B1334" s="3467"/>
      <c r="C1334" s="1699"/>
      <c r="D1334" s="1699"/>
      <c r="E1334" s="1683"/>
      <c r="F1334" s="1683"/>
      <c r="G1334" s="1684"/>
      <c r="H1334" s="1635">
        <f t="shared" si="264"/>
        <v>0</v>
      </c>
    </row>
    <row r="1335" spans="1:29" ht="17.100000000000001" customHeight="1">
      <c r="A1335" s="1666"/>
      <c r="B1335" s="3467"/>
      <c r="C1335" s="3652" t="s">
        <v>770</v>
      </c>
      <c r="D1335" s="3652"/>
      <c r="E1335" s="1906">
        <f t="shared" ref="E1335:F1335" si="276">SUM(E1336:E1339)</f>
        <v>54966</v>
      </c>
      <c r="F1335" s="1906">
        <f t="shared" si="276"/>
        <v>54966</v>
      </c>
      <c r="G1335" s="1907">
        <f t="shared" si="258"/>
        <v>1</v>
      </c>
      <c r="H1335" s="1635">
        <f t="shared" si="264"/>
        <v>0</v>
      </c>
    </row>
    <row r="1336" spans="1:29" ht="17.100000000000001" customHeight="1">
      <c r="A1336" s="1666"/>
      <c r="B1336" s="3467"/>
      <c r="C1336" s="2145" t="s">
        <v>773</v>
      </c>
      <c r="D1336" s="2146" t="s">
        <v>774</v>
      </c>
      <c r="E1336" s="1904">
        <v>4192</v>
      </c>
      <c r="F1336" s="1904">
        <f>H1336</f>
        <v>4192</v>
      </c>
      <c r="G1336" s="1905">
        <f t="shared" si="258"/>
        <v>1</v>
      </c>
      <c r="H1336" s="1635">
        <f t="shared" si="264"/>
        <v>4192</v>
      </c>
      <c r="AC1336" s="1636">
        <v>4192</v>
      </c>
    </row>
    <row r="1337" spans="1:29" ht="17.100000000000001" customHeight="1">
      <c r="A1337" s="1666"/>
      <c r="B1337" s="3467"/>
      <c r="C1337" s="2145" t="s">
        <v>983</v>
      </c>
      <c r="D1337" s="2146" t="s">
        <v>984</v>
      </c>
      <c r="E1337" s="1904">
        <v>4030</v>
      </c>
      <c r="F1337" s="1904">
        <f t="shared" ref="F1337:F1339" si="277">H1337</f>
        <v>4030</v>
      </c>
      <c r="G1337" s="1905">
        <f t="shared" si="258"/>
        <v>1</v>
      </c>
      <c r="H1337" s="1635">
        <f t="shared" si="264"/>
        <v>4030</v>
      </c>
      <c r="AC1337" s="1636">
        <v>4030</v>
      </c>
    </row>
    <row r="1338" spans="1:29" ht="17.100000000000001" customHeight="1">
      <c r="A1338" s="1666"/>
      <c r="B1338" s="3467"/>
      <c r="C1338" s="2145" t="s">
        <v>781</v>
      </c>
      <c r="D1338" s="2146" t="s">
        <v>782</v>
      </c>
      <c r="E1338" s="1904">
        <v>1396</v>
      </c>
      <c r="F1338" s="1904">
        <f t="shared" si="277"/>
        <v>1396</v>
      </c>
      <c r="G1338" s="1905">
        <f t="shared" si="258"/>
        <v>1</v>
      </c>
      <c r="H1338" s="1635">
        <f t="shared" si="264"/>
        <v>1396</v>
      </c>
      <c r="AC1338" s="1636">
        <v>1396</v>
      </c>
    </row>
    <row r="1339" spans="1:29" ht="17.100000000000001" customHeight="1">
      <c r="A1339" s="1666"/>
      <c r="B1339" s="3467"/>
      <c r="C1339" s="2145" t="s">
        <v>795</v>
      </c>
      <c r="D1339" s="2146" t="s">
        <v>796</v>
      </c>
      <c r="E1339" s="1904">
        <v>45348</v>
      </c>
      <c r="F1339" s="1904">
        <f t="shared" si="277"/>
        <v>45348</v>
      </c>
      <c r="G1339" s="1905">
        <f t="shared" si="258"/>
        <v>1</v>
      </c>
      <c r="H1339" s="1635">
        <f t="shared" si="264"/>
        <v>45348</v>
      </c>
      <c r="AC1339" s="1636">
        <v>45348</v>
      </c>
    </row>
    <row r="1340" spans="1:29" ht="17.100000000000001" customHeight="1">
      <c r="A1340" s="1666"/>
      <c r="B1340" s="3477"/>
      <c r="C1340" s="2293"/>
      <c r="D1340" s="2074"/>
      <c r="E1340" s="2075"/>
      <c r="F1340" s="2075"/>
      <c r="G1340" s="2295"/>
      <c r="H1340" s="1635">
        <f t="shared" si="264"/>
        <v>0</v>
      </c>
    </row>
    <row r="1341" spans="1:29" ht="17.100000000000001" customHeight="1">
      <c r="A1341" s="1666"/>
      <c r="B1341" s="3477"/>
      <c r="C1341" s="3486" t="s">
        <v>1042</v>
      </c>
      <c r="D1341" s="3683"/>
      <c r="E1341" s="1749">
        <f t="shared" ref="E1341:F1341" si="278">E1342</f>
        <v>534</v>
      </c>
      <c r="F1341" s="1749">
        <f t="shared" si="278"/>
        <v>534</v>
      </c>
      <c r="G1341" s="1905">
        <f t="shared" si="258"/>
        <v>1</v>
      </c>
      <c r="H1341" s="1635">
        <f t="shared" si="264"/>
        <v>0</v>
      </c>
    </row>
    <row r="1342" spans="1:29" ht="17.100000000000001" customHeight="1" thickBot="1">
      <c r="A1342" s="1666"/>
      <c r="B1342" s="3477"/>
      <c r="C1342" s="2213" t="s">
        <v>808</v>
      </c>
      <c r="D1342" s="2214" t="s">
        <v>809</v>
      </c>
      <c r="E1342" s="2215">
        <v>534</v>
      </c>
      <c r="F1342" s="2215">
        <f>H1342</f>
        <v>534</v>
      </c>
      <c r="G1342" s="2208">
        <f t="shared" si="258"/>
        <v>1</v>
      </c>
      <c r="H1342" s="1635">
        <f t="shared" si="264"/>
        <v>534</v>
      </c>
      <c r="AC1342" s="1636">
        <v>534</v>
      </c>
    </row>
    <row r="1343" spans="1:29" ht="17.100000000000001" customHeight="1" thickBot="1">
      <c r="A1343" s="1666"/>
      <c r="B1343" s="1734" t="s">
        <v>1112</v>
      </c>
      <c r="C1343" s="1735"/>
      <c r="D1343" s="1736" t="s">
        <v>567</v>
      </c>
      <c r="E1343" s="1737">
        <f>SUM(E1344,E1401)</f>
        <v>19301395</v>
      </c>
      <c r="F1343" s="1737">
        <f t="shared" ref="F1343" si="279">SUM(F1344,F1401)</f>
        <v>17894480</v>
      </c>
      <c r="G1343" s="1738">
        <f t="shared" si="258"/>
        <v>0.92710811835103113</v>
      </c>
      <c r="H1343" s="1635">
        <f t="shared" si="264"/>
        <v>0</v>
      </c>
    </row>
    <row r="1344" spans="1:29" ht="17.100000000000001" customHeight="1">
      <c r="A1344" s="1666"/>
      <c r="B1344" s="1678"/>
      <c r="C1344" s="3472" t="s">
        <v>755</v>
      </c>
      <c r="D1344" s="3472"/>
      <c r="E1344" s="1672">
        <f>E1345+E1376+E1379+E1383</f>
        <v>19258245</v>
      </c>
      <c r="F1344" s="1672">
        <f t="shared" ref="F1344" si="280">F1345+F1379+F1383</f>
        <v>17894480</v>
      </c>
      <c r="G1344" s="1673">
        <f t="shared" si="258"/>
        <v>0.92918539565780789</v>
      </c>
      <c r="H1344" s="1635">
        <f t="shared" si="264"/>
        <v>0</v>
      </c>
    </row>
    <row r="1345" spans="1:29" ht="17.100000000000001" customHeight="1">
      <c r="A1345" s="1666"/>
      <c r="B1345" s="1678"/>
      <c r="C1345" s="3651" t="s">
        <v>756</v>
      </c>
      <c r="D1345" s="3651"/>
      <c r="E1345" s="1904">
        <f t="shared" ref="E1345:F1345" si="281">E1346+E1356</f>
        <v>18607053</v>
      </c>
      <c r="F1345" s="1904">
        <f t="shared" si="281"/>
        <v>17848900</v>
      </c>
      <c r="G1345" s="1905">
        <f t="shared" ref="G1345:G1430" si="282">F1345/E1345</f>
        <v>0.95925453643841396</v>
      </c>
      <c r="H1345" s="1635">
        <f t="shared" si="264"/>
        <v>0</v>
      </c>
    </row>
    <row r="1346" spans="1:29" ht="17.100000000000001" customHeight="1">
      <c r="A1346" s="1666"/>
      <c r="B1346" s="1678"/>
      <c r="C1346" s="3669" t="s">
        <v>757</v>
      </c>
      <c r="D1346" s="3669"/>
      <c r="E1346" s="1906">
        <f>SUM(E1347:E1354)</f>
        <v>15242220</v>
      </c>
      <c r="F1346" s="1906">
        <f>SUM(F1347:F1354)</f>
        <v>14424114</v>
      </c>
      <c r="G1346" s="1907">
        <f t="shared" si="282"/>
        <v>0.94632632254356652</v>
      </c>
      <c r="H1346" s="1635">
        <f t="shared" si="264"/>
        <v>0</v>
      </c>
    </row>
    <row r="1347" spans="1:29" ht="17.100000000000001" customHeight="1">
      <c r="A1347" s="1666"/>
      <c r="B1347" s="1678"/>
      <c r="C1347" s="2145" t="s">
        <v>758</v>
      </c>
      <c r="D1347" s="2146" t="s">
        <v>759</v>
      </c>
      <c r="E1347" s="1904">
        <v>11853396</v>
      </c>
      <c r="F1347" s="1904">
        <f>H1347</f>
        <v>2810850</v>
      </c>
      <c r="G1347" s="1905">
        <f t="shared" si="282"/>
        <v>0.23713457307930993</v>
      </c>
      <c r="H1347" s="1635">
        <f t="shared" si="264"/>
        <v>2810850</v>
      </c>
      <c r="AC1347" s="1636">
        <v>2810850</v>
      </c>
    </row>
    <row r="1348" spans="1:29" ht="17.100000000000001" customHeight="1">
      <c r="A1348" s="1666"/>
      <c r="B1348" s="1678"/>
      <c r="C1348" s="2145" t="s">
        <v>760</v>
      </c>
      <c r="D1348" s="2146" t="s">
        <v>761</v>
      </c>
      <c r="E1348" s="1904">
        <v>892971</v>
      </c>
      <c r="F1348" s="1904">
        <f t="shared" ref="F1348:F1352" si="283">H1348</f>
        <v>190582</v>
      </c>
      <c r="G1348" s="1905">
        <f t="shared" si="282"/>
        <v>0.2134246240919358</v>
      </c>
      <c r="H1348" s="1635">
        <f t="shared" si="264"/>
        <v>190582</v>
      </c>
      <c r="AC1348" s="1636">
        <v>190582</v>
      </c>
    </row>
    <row r="1349" spans="1:29" ht="17.100000000000001" customHeight="1">
      <c r="A1349" s="1666"/>
      <c r="B1349" s="1678"/>
      <c r="C1349" s="2145" t="s">
        <v>762</v>
      </c>
      <c r="D1349" s="2146" t="s">
        <v>763</v>
      </c>
      <c r="E1349" s="1904">
        <v>2162816</v>
      </c>
      <c r="F1349" s="1904">
        <f t="shared" si="283"/>
        <v>1991630</v>
      </c>
      <c r="G1349" s="1905">
        <f t="shared" si="282"/>
        <v>0.92085040983606559</v>
      </c>
      <c r="H1349" s="1635">
        <f t="shared" si="264"/>
        <v>1991630</v>
      </c>
      <c r="AC1349" s="1636">
        <v>1991630</v>
      </c>
    </row>
    <row r="1350" spans="1:29" ht="26.25" customHeight="1">
      <c r="A1350" s="1666"/>
      <c r="B1350" s="1678"/>
      <c r="C1350" s="2145" t="s">
        <v>764</v>
      </c>
      <c r="D1350" s="2146" t="s">
        <v>1440</v>
      </c>
      <c r="E1350" s="1904">
        <v>278487</v>
      </c>
      <c r="F1350" s="1904">
        <f t="shared" si="283"/>
        <v>255298</v>
      </c>
      <c r="G1350" s="1905">
        <f t="shared" si="282"/>
        <v>0.91673219934862304</v>
      </c>
      <c r="H1350" s="1635">
        <f t="shared" si="264"/>
        <v>255298</v>
      </c>
      <c r="AC1350" s="1636">
        <v>255298</v>
      </c>
    </row>
    <row r="1351" spans="1:29" ht="17.100000000000001" customHeight="1">
      <c r="A1351" s="1666"/>
      <c r="B1351" s="1678"/>
      <c r="C1351" s="2213" t="s">
        <v>766</v>
      </c>
      <c r="D1351" s="2214" t="s">
        <v>767</v>
      </c>
      <c r="E1351" s="1904">
        <v>38160</v>
      </c>
      <c r="F1351" s="1904">
        <f t="shared" si="283"/>
        <v>34960</v>
      </c>
      <c r="G1351" s="1905">
        <f t="shared" si="282"/>
        <v>0.9161425576519916</v>
      </c>
      <c r="H1351" s="1635">
        <f t="shared" si="264"/>
        <v>34960</v>
      </c>
      <c r="AC1351" s="1636">
        <v>34960</v>
      </c>
    </row>
    <row r="1352" spans="1:29" ht="17.100000000000001" customHeight="1">
      <c r="A1352" s="1666"/>
      <c r="B1352" s="1678"/>
      <c r="C1352" s="2213" t="s">
        <v>768</v>
      </c>
      <c r="D1352" s="2146" t="s">
        <v>769</v>
      </c>
      <c r="E1352" s="2215">
        <v>16390</v>
      </c>
      <c r="F1352" s="1904">
        <f t="shared" si="283"/>
        <v>17518</v>
      </c>
      <c r="G1352" s="2208">
        <f t="shared" si="282"/>
        <v>1.0688224527150703</v>
      </c>
      <c r="H1352" s="1635">
        <f t="shared" si="264"/>
        <v>17518</v>
      </c>
      <c r="AC1352" s="1636">
        <v>17518</v>
      </c>
    </row>
    <row r="1353" spans="1:29" ht="17.100000000000001" customHeight="1">
      <c r="A1353" s="1666"/>
      <c r="B1353" s="1678"/>
      <c r="C1353" s="2145" t="s">
        <v>1101</v>
      </c>
      <c r="D1353" s="2146" t="s">
        <v>1102</v>
      </c>
      <c r="E1353" s="2215">
        <v>0</v>
      </c>
      <c r="F1353" s="2215">
        <f>H1353</f>
        <v>8462648</v>
      </c>
      <c r="G1353" s="2208"/>
      <c r="H1353" s="1635">
        <f t="shared" si="264"/>
        <v>8462648</v>
      </c>
      <c r="AC1353" s="1636">
        <v>8462648</v>
      </c>
    </row>
    <row r="1354" spans="1:29" ht="17.100000000000001" customHeight="1">
      <c r="A1354" s="1666"/>
      <c r="B1354" s="1678"/>
      <c r="C1354" s="2145" t="s">
        <v>1103</v>
      </c>
      <c r="D1354" s="2146" t="s">
        <v>1104</v>
      </c>
      <c r="E1354" s="2215">
        <v>0</v>
      </c>
      <c r="F1354" s="2215">
        <f>H1354</f>
        <v>660628</v>
      </c>
      <c r="G1354" s="2208"/>
      <c r="H1354" s="1635">
        <f t="shared" si="264"/>
        <v>660628</v>
      </c>
      <c r="AC1354" s="1636">
        <v>660628</v>
      </c>
    </row>
    <row r="1355" spans="1:29" ht="17.100000000000001" customHeight="1" thickBot="1">
      <c r="A1355" s="1792"/>
      <c r="B1355" s="1793"/>
      <c r="C1355" s="3090"/>
      <c r="D1355" s="3090"/>
      <c r="E1355" s="3091"/>
      <c r="F1355" s="3091"/>
      <c r="G1355" s="2208"/>
      <c r="H1355" s="1635">
        <f t="shared" si="264"/>
        <v>0</v>
      </c>
    </row>
    <row r="1356" spans="1:29" ht="17.100000000000001" customHeight="1">
      <c r="A1356" s="1666"/>
      <c r="B1356" s="1678"/>
      <c r="C1356" s="3670" t="s">
        <v>770</v>
      </c>
      <c r="D1356" s="3670"/>
      <c r="E1356" s="3089">
        <f>SUM(E1357:E1374)</f>
        <v>3364833</v>
      </c>
      <c r="F1356" s="3089">
        <f t="shared" ref="F1356" si="284">SUM(F1357:F1374)</f>
        <v>3424786</v>
      </c>
      <c r="G1356" s="2296">
        <f t="shared" si="282"/>
        <v>1.017817526159545</v>
      </c>
      <c r="H1356" s="1635">
        <f t="shared" si="264"/>
        <v>0</v>
      </c>
    </row>
    <row r="1357" spans="1:29" ht="17.100000000000001" customHeight="1">
      <c r="A1357" s="1666"/>
      <c r="B1357" s="1678"/>
      <c r="C1357" s="2145" t="s">
        <v>771</v>
      </c>
      <c r="D1357" s="2146" t="s">
        <v>772</v>
      </c>
      <c r="E1357" s="1904">
        <v>28100</v>
      </c>
      <c r="F1357" s="1904">
        <f>H1357</f>
        <v>18100</v>
      </c>
      <c r="G1357" s="1905">
        <f t="shared" si="282"/>
        <v>0.64412811387900359</v>
      </c>
      <c r="H1357" s="1635">
        <f t="shared" si="264"/>
        <v>18100</v>
      </c>
      <c r="AC1357" s="1636">
        <v>18100</v>
      </c>
    </row>
    <row r="1358" spans="1:29" ht="17.100000000000001" customHeight="1">
      <c r="A1358" s="1666"/>
      <c r="B1358" s="1678"/>
      <c r="C1358" s="2145" t="s">
        <v>773</v>
      </c>
      <c r="D1358" s="2146" t="s">
        <v>774</v>
      </c>
      <c r="E1358" s="1904">
        <v>160895</v>
      </c>
      <c r="F1358" s="1904">
        <f t="shared" ref="F1358:F1374" si="285">H1358</f>
        <v>137773</v>
      </c>
      <c r="G1358" s="1905">
        <f t="shared" si="282"/>
        <v>0.85629137014823331</v>
      </c>
      <c r="H1358" s="1635">
        <f t="shared" si="264"/>
        <v>137773</v>
      </c>
      <c r="AC1358" s="1636">
        <v>137773</v>
      </c>
    </row>
    <row r="1359" spans="1:29" ht="17.100000000000001" customHeight="1">
      <c r="A1359" s="1666"/>
      <c r="B1359" s="1678"/>
      <c r="C1359" s="2145" t="s">
        <v>983</v>
      </c>
      <c r="D1359" s="2146" t="s">
        <v>984</v>
      </c>
      <c r="E1359" s="1904">
        <v>80500</v>
      </c>
      <c r="F1359" s="1904">
        <f t="shared" si="285"/>
        <v>609344</v>
      </c>
      <c r="G1359" s="1905">
        <f t="shared" si="282"/>
        <v>7.5694906832298132</v>
      </c>
      <c r="H1359" s="1635">
        <f t="shared" si="264"/>
        <v>609344</v>
      </c>
      <c r="AC1359" s="1636">
        <v>609344</v>
      </c>
    </row>
    <row r="1360" spans="1:29" ht="17.100000000000001" customHeight="1">
      <c r="A1360" s="1666"/>
      <c r="B1360" s="1678"/>
      <c r="C1360" s="2145" t="s">
        <v>777</v>
      </c>
      <c r="D1360" s="2146" t="s">
        <v>778</v>
      </c>
      <c r="E1360" s="1904">
        <v>538785</v>
      </c>
      <c r="F1360" s="1904">
        <f t="shared" si="285"/>
        <v>521637</v>
      </c>
      <c r="G1360" s="1905">
        <f t="shared" si="282"/>
        <v>0.96817283331941317</v>
      </c>
      <c r="H1360" s="1635">
        <f t="shared" si="264"/>
        <v>521637</v>
      </c>
      <c r="AC1360" s="1636">
        <v>521637</v>
      </c>
    </row>
    <row r="1361" spans="1:29" ht="17.100000000000001" customHeight="1">
      <c r="A1361" s="1666"/>
      <c r="B1361" s="1678"/>
      <c r="C1361" s="2145" t="s">
        <v>779</v>
      </c>
      <c r="D1361" s="2146" t="s">
        <v>780</v>
      </c>
      <c r="E1361" s="1904">
        <v>1251880</v>
      </c>
      <c r="F1361" s="1904">
        <f t="shared" si="285"/>
        <v>947815</v>
      </c>
      <c r="G1361" s="1905">
        <f t="shared" si="282"/>
        <v>0.75711330159440204</v>
      </c>
      <c r="H1361" s="1635">
        <f t="shared" si="264"/>
        <v>947815</v>
      </c>
      <c r="AC1361" s="1636">
        <v>947815</v>
      </c>
    </row>
    <row r="1362" spans="1:29" ht="17.100000000000001" customHeight="1">
      <c r="A1362" s="1666"/>
      <c r="B1362" s="1678"/>
      <c r="C1362" s="2145" t="s">
        <v>781</v>
      </c>
      <c r="D1362" s="2146" t="s">
        <v>782</v>
      </c>
      <c r="E1362" s="1904">
        <v>12788</v>
      </c>
      <c r="F1362" s="1904">
        <f t="shared" si="285"/>
        <v>13388</v>
      </c>
      <c r="G1362" s="1905">
        <f t="shared" si="282"/>
        <v>1.0469189865498905</v>
      </c>
      <c r="H1362" s="1635">
        <f t="shared" si="264"/>
        <v>13388</v>
      </c>
      <c r="AC1362" s="1636">
        <v>13388</v>
      </c>
    </row>
    <row r="1363" spans="1:29" ht="17.100000000000001" customHeight="1">
      <c r="A1363" s="1666"/>
      <c r="B1363" s="1678"/>
      <c r="C1363" s="2145" t="s">
        <v>783</v>
      </c>
      <c r="D1363" s="2146" t="s">
        <v>784</v>
      </c>
      <c r="E1363" s="1904">
        <v>404260</v>
      </c>
      <c r="F1363" s="1904">
        <f t="shared" si="285"/>
        <v>431982</v>
      </c>
      <c r="G1363" s="1905">
        <f t="shared" si="282"/>
        <v>1.068574679661604</v>
      </c>
      <c r="H1363" s="1635">
        <f t="shared" si="264"/>
        <v>431982</v>
      </c>
      <c r="AC1363" s="1636">
        <v>431982</v>
      </c>
    </row>
    <row r="1364" spans="1:29" ht="27" customHeight="1">
      <c r="A1364" s="1666"/>
      <c r="B1364" s="1678"/>
      <c r="C1364" s="2145" t="s">
        <v>1113</v>
      </c>
      <c r="D1364" s="2146" t="s">
        <v>1114</v>
      </c>
      <c r="E1364" s="1904">
        <v>249500</v>
      </c>
      <c r="F1364" s="1904">
        <f t="shared" si="285"/>
        <v>194000</v>
      </c>
      <c r="G1364" s="1905">
        <f t="shared" si="282"/>
        <v>0.77755511022044088</v>
      </c>
      <c r="H1364" s="1635">
        <f t="shared" si="264"/>
        <v>194000</v>
      </c>
      <c r="AC1364" s="1636">
        <v>194000</v>
      </c>
    </row>
    <row r="1365" spans="1:29" ht="16.5" customHeight="1">
      <c r="A1365" s="1666"/>
      <c r="B1365" s="1678"/>
      <c r="C1365" s="2145" t="s">
        <v>785</v>
      </c>
      <c r="D1365" s="2146" t="s">
        <v>786</v>
      </c>
      <c r="E1365" s="1904">
        <v>22602</v>
      </c>
      <c r="F1365" s="1904">
        <f t="shared" si="285"/>
        <v>21570</v>
      </c>
      <c r="G1365" s="1905">
        <f t="shared" si="282"/>
        <v>0.95434032386514467</v>
      </c>
      <c r="H1365" s="1635">
        <f t="shared" si="264"/>
        <v>21570</v>
      </c>
      <c r="AC1365" s="1636">
        <v>21570</v>
      </c>
    </row>
    <row r="1366" spans="1:29" ht="16.5" customHeight="1">
      <c r="A1366" s="1666"/>
      <c r="B1366" s="1678"/>
      <c r="C1366" s="2145" t="s">
        <v>787</v>
      </c>
      <c r="D1366" s="2146" t="s">
        <v>788</v>
      </c>
      <c r="E1366" s="1904">
        <v>1080</v>
      </c>
      <c r="F1366" s="1904">
        <f t="shared" si="285"/>
        <v>1080</v>
      </c>
      <c r="G1366" s="1905">
        <f t="shared" si="282"/>
        <v>1</v>
      </c>
      <c r="H1366" s="1635">
        <f t="shared" si="264"/>
        <v>1080</v>
      </c>
      <c r="AC1366" s="1636">
        <v>1080</v>
      </c>
    </row>
    <row r="1367" spans="1:29" ht="27.75" customHeight="1">
      <c r="A1367" s="1666"/>
      <c r="B1367" s="1678"/>
      <c r="C1367" s="2145" t="s">
        <v>789</v>
      </c>
      <c r="D1367" s="2146" t="s">
        <v>790</v>
      </c>
      <c r="E1367" s="1904">
        <v>2400</v>
      </c>
      <c r="F1367" s="1904">
        <f t="shared" si="285"/>
        <v>2400</v>
      </c>
      <c r="G1367" s="1905">
        <f t="shared" si="282"/>
        <v>1</v>
      </c>
      <c r="H1367" s="1635">
        <f t="shared" si="264"/>
        <v>2400</v>
      </c>
      <c r="AC1367" s="1636">
        <v>2400</v>
      </c>
    </row>
    <row r="1368" spans="1:29" ht="17.100000000000001" customHeight="1">
      <c r="A1368" s="1666"/>
      <c r="B1368" s="1678"/>
      <c r="C1368" s="2145" t="s">
        <v>791</v>
      </c>
      <c r="D1368" s="2146" t="s">
        <v>792</v>
      </c>
      <c r="E1368" s="1904">
        <v>16340</v>
      </c>
      <c r="F1368" s="1904">
        <f t="shared" si="285"/>
        <v>15040</v>
      </c>
      <c r="G1368" s="1905">
        <f t="shared" si="282"/>
        <v>0.92044063647490815</v>
      </c>
      <c r="H1368" s="1635">
        <f t="shared" si="264"/>
        <v>15040</v>
      </c>
      <c r="AC1368" s="1636">
        <v>15040</v>
      </c>
    </row>
    <row r="1369" spans="1:29" ht="17.100000000000001" customHeight="1">
      <c r="A1369" s="1666"/>
      <c r="B1369" s="1678"/>
      <c r="C1369" s="2145" t="s">
        <v>793</v>
      </c>
      <c r="D1369" s="2146" t="s">
        <v>794</v>
      </c>
      <c r="E1369" s="1904">
        <v>20370</v>
      </c>
      <c r="F1369" s="1904">
        <f t="shared" si="285"/>
        <v>22200</v>
      </c>
      <c r="G1369" s="1905">
        <f t="shared" si="282"/>
        <v>1.0898379970544918</v>
      </c>
      <c r="H1369" s="1635">
        <f t="shared" si="264"/>
        <v>22200</v>
      </c>
      <c r="AC1369" s="1636">
        <v>22200</v>
      </c>
    </row>
    <row r="1370" spans="1:29" ht="17.100000000000001" customHeight="1">
      <c r="A1370" s="1666"/>
      <c r="B1370" s="1678"/>
      <c r="C1370" s="2145" t="s">
        <v>795</v>
      </c>
      <c r="D1370" s="2146" t="s">
        <v>796</v>
      </c>
      <c r="E1370" s="1904">
        <v>551084</v>
      </c>
      <c r="F1370" s="1904">
        <f t="shared" si="285"/>
        <v>465497</v>
      </c>
      <c r="G1370" s="1905">
        <f t="shared" si="282"/>
        <v>0.84469336798019901</v>
      </c>
      <c r="H1370" s="1635">
        <f t="shared" ref="H1370:H1440" si="286">SUM(I1370:AE1370)</f>
        <v>465497</v>
      </c>
      <c r="AC1370" s="1636">
        <v>465497</v>
      </c>
    </row>
    <row r="1371" spans="1:29" ht="17.100000000000001" hidden="1" customHeight="1">
      <c r="A1371" s="1666"/>
      <c r="B1371" s="1678"/>
      <c r="C1371" s="2145" t="s">
        <v>799</v>
      </c>
      <c r="D1371" s="2146" t="s">
        <v>800</v>
      </c>
      <c r="E1371" s="1904"/>
      <c r="F1371" s="1904">
        <f t="shared" si="285"/>
        <v>0</v>
      </c>
      <c r="G1371" s="1905" t="e">
        <f t="shared" si="282"/>
        <v>#DIV/0!</v>
      </c>
      <c r="H1371" s="1635">
        <f t="shared" si="286"/>
        <v>0</v>
      </c>
    </row>
    <row r="1372" spans="1:29" ht="17.100000000000001" customHeight="1">
      <c r="A1372" s="1666"/>
      <c r="B1372" s="1678"/>
      <c r="C1372" s="2145" t="s">
        <v>801</v>
      </c>
      <c r="D1372" s="2146" t="s">
        <v>1115</v>
      </c>
      <c r="E1372" s="1904">
        <v>11488</v>
      </c>
      <c r="F1372" s="1904">
        <f t="shared" si="285"/>
        <v>13560</v>
      </c>
      <c r="G1372" s="1905">
        <f t="shared" si="282"/>
        <v>1.1803621169916434</v>
      </c>
      <c r="H1372" s="1635">
        <f t="shared" si="286"/>
        <v>13560</v>
      </c>
      <c r="AC1372" s="1636">
        <v>13560</v>
      </c>
    </row>
    <row r="1373" spans="1:29" ht="17.100000000000001" hidden="1" customHeight="1">
      <c r="A1373" s="1666"/>
      <c r="B1373" s="1678"/>
      <c r="C1373" s="2145" t="s">
        <v>874</v>
      </c>
      <c r="D1373" s="2146" t="s">
        <v>875</v>
      </c>
      <c r="E1373" s="1904">
        <v>1500</v>
      </c>
      <c r="F1373" s="1904">
        <f t="shared" si="285"/>
        <v>0</v>
      </c>
      <c r="G1373" s="1905">
        <f t="shared" si="282"/>
        <v>0</v>
      </c>
      <c r="H1373" s="1635">
        <f t="shared" si="286"/>
        <v>0</v>
      </c>
    </row>
    <row r="1374" spans="1:29" ht="18.75" customHeight="1">
      <c r="A1374" s="1666"/>
      <c r="B1374" s="1678"/>
      <c r="C1374" s="2145" t="s">
        <v>805</v>
      </c>
      <c r="D1374" s="2146" t="s">
        <v>806</v>
      </c>
      <c r="E1374" s="1904">
        <v>11261</v>
      </c>
      <c r="F1374" s="1904">
        <f t="shared" si="285"/>
        <v>9400</v>
      </c>
      <c r="G1374" s="1905">
        <f t="shared" si="282"/>
        <v>0.83473936595329012</v>
      </c>
      <c r="H1374" s="1635">
        <f t="shared" si="286"/>
        <v>9400</v>
      </c>
      <c r="AC1374" s="1636">
        <v>9400</v>
      </c>
    </row>
    <row r="1375" spans="1:29" ht="17.100000000000001" customHeight="1">
      <c r="A1375" s="1666"/>
      <c r="B1375" s="1678"/>
      <c r="C1375" s="1699"/>
      <c r="D1375" s="1699"/>
      <c r="E1375" s="1683"/>
      <c r="F1375" s="1683"/>
      <c r="G1375" s="1684"/>
      <c r="H1375" s="1635">
        <f t="shared" si="286"/>
        <v>0</v>
      </c>
    </row>
    <row r="1376" spans="1:29" ht="17.100000000000001" hidden="1" customHeight="1">
      <c r="A1376" s="1666"/>
      <c r="B1376" s="1678"/>
      <c r="C1376" s="3656" t="s">
        <v>857</v>
      </c>
      <c r="D1376" s="3656"/>
      <c r="E1376" s="1904">
        <f>E1377</f>
        <v>340000</v>
      </c>
      <c r="F1376" s="1904">
        <f>F1377</f>
        <v>0</v>
      </c>
      <c r="G1376" s="1905">
        <f t="shared" si="282"/>
        <v>0</v>
      </c>
      <c r="H1376" s="1635">
        <f t="shared" si="286"/>
        <v>0</v>
      </c>
    </row>
    <row r="1377" spans="1:29" ht="26.25" hidden="1" customHeight="1">
      <c r="A1377" s="1666"/>
      <c r="B1377" s="1678"/>
      <c r="C1377" s="2246" t="s">
        <v>394</v>
      </c>
      <c r="D1377" s="2229" t="s">
        <v>978</v>
      </c>
      <c r="E1377" s="1904">
        <v>340000</v>
      </c>
      <c r="F1377" s="1904">
        <f>H1377</f>
        <v>0</v>
      </c>
      <c r="G1377" s="1905">
        <f t="shared" si="282"/>
        <v>0</v>
      </c>
      <c r="H1377" s="1635">
        <f t="shared" si="286"/>
        <v>0</v>
      </c>
    </row>
    <row r="1378" spans="1:29" ht="17.100000000000001" hidden="1" customHeight="1">
      <c r="A1378" s="1666"/>
      <c r="B1378" s="1678"/>
      <c r="C1378" s="1699"/>
      <c r="D1378" s="1699"/>
      <c r="E1378" s="1683"/>
      <c r="F1378" s="1683"/>
      <c r="G1378" s="1684"/>
      <c r="H1378" s="1635">
        <f t="shared" si="286"/>
        <v>0</v>
      </c>
    </row>
    <row r="1379" spans="1:29" ht="17.100000000000001" customHeight="1">
      <c r="A1379" s="1666"/>
      <c r="B1379" s="1678"/>
      <c r="C1379" s="3656" t="s">
        <v>1042</v>
      </c>
      <c r="D1379" s="3656"/>
      <c r="E1379" s="1904">
        <f>E1380+E1381</f>
        <v>311192</v>
      </c>
      <c r="F1379" s="1904">
        <f t="shared" ref="F1379" si="287">F1380+F1381</f>
        <v>45580</v>
      </c>
      <c r="G1379" s="1905">
        <f t="shared" si="282"/>
        <v>0.14646906090130851</v>
      </c>
      <c r="H1379" s="1635">
        <f t="shared" si="286"/>
        <v>0</v>
      </c>
    </row>
    <row r="1380" spans="1:29" ht="17.100000000000001" customHeight="1" thickBot="1">
      <c r="A1380" s="1666"/>
      <c r="B1380" s="1678"/>
      <c r="C1380" s="2246" t="s">
        <v>808</v>
      </c>
      <c r="D1380" s="2229" t="s">
        <v>809</v>
      </c>
      <c r="E1380" s="1904">
        <v>119942</v>
      </c>
      <c r="F1380" s="1904">
        <f>H1380</f>
        <v>45580</v>
      </c>
      <c r="G1380" s="1905">
        <f t="shared" si="282"/>
        <v>0.38001700822064</v>
      </c>
      <c r="H1380" s="1635">
        <f t="shared" si="286"/>
        <v>45580</v>
      </c>
      <c r="AC1380" s="1636">
        <v>45580</v>
      </c>
    </row>
    <row r="1381" spans="1:29" ht="17.100000000000001" hidden="1" customHeight="1">
      <c r="A1381" s="1666"/>
      <c r="B1381" s="1678"/>
      <c r="C1381" s="1778" t="s">
        <v>1116</v>
      </c>
      <c r="D1381" s="1819" t="s">
        <v>1117</v>
      </c>
      <c r="E1381" s="1904">
        <v>191250</v>
      </c>
      <c r="F1381" s="1904">
        <f>H1381</f>
        <v>0</v>
      </c>
      <c r="G1381" s="1905">
        <f t="shared" si="282"/>
        <v>0</v>
      </c>
      <c r="H1381" s="1635">
        <f t="shared" si="286"/>
        <v>0</v>
      </c>
    </row>
    <row r="1382" spans="1:29" ht="13.5" hidden="1" thickBot="1">
      <c r="A1382" s="1666"/>
      <c r="B1382" s="1678"/>
      <c r="C1382" s="2297"/>
      <c r="D1382" s="2298"/>
      <c r="E1382" s="2299"/>
      <c r="F1382" s="2299"/>
      <c r="G1382" s="2070"/>
      <c r="H1382" s="1635">
        <f t="shared" si="286"/>
        <v>0</v>
      </c>
    </row>
    <row r="1383" spans="1:29" ht="17.100000000000001" hidden="1" customHeight="1">
      <c r="A1383" s="1666"/>
      <c r="B1383" s="1678"/>
      <c r="C1383" s="3684" t="s">
        <v>825</v>
      </c>
      <c r="D1383" s="3685"/>
      <c r="E1383" s="2300">
        <f>SUM(E1384:E1399)</f>
        <v>0</v>
      </c>
      <c r="F1383" s="2300">
        <f t="shared" ref="F1383" si="288">SUM(F1384:F1399)</f>
        <v>0</v>
      </c>
      <c r="G1383" s="1786" t="e">
        <f t="shared" si="282"/>
        <v>#DIV/0!</v>
      </c>
      <c r="H1383" s="1635">
        <f t="shared" si="286"/>
        <v>0</v>
      </c>
    </row>
    <row r="1384" spans="1:29" ht="17.100000000000001" hidden="1" customHeight="1">
      <c r="A1384" s="1666"/>
      <c r="B1384" s="1678"/>
      <c r="C1384" s="2145" t="s">
        <v>1118</v>
      </c>
      <c r="D1384" s="2236" t="s">
        <v>1117</v>
      </c>
      <c r="E1384" s="2301">
        <v>0</v>
      </c>
      <c r="F1384" s="2301">
        <f>H1384</f>
        <v>0</v>
      </c>
      <c r="G1384" s="2142" t="e">
        <f t="shared" si="282"/>
        <v>#DIV/0!</v>
      </c>
      <c r="H1384" s="1635">
        <f t="shared" si="286"/>
        <v>0</v>
      </c>
    </row>
    <row r="1385" spans="1:29" ht="17.100000000000001" hidden="1" customHeight="1">
      <c r="A1385" s="1666"/>
      <c r="B1385" s="1678"/>
      <c r="C1385" s="2145" t="s">
        <v>1119</v>
      </c>
      <c r="D1385" s="2236" t="s">
        <v>1117</v>
      </c>
      <c r="E1385" s="2301">
        <v>0</v>
      </c>
      <c r="F1385" s="2301">
        <f t="shared" ref="F1385:F1399" si="289">H1385</f>
        <v>0</v>
      </c>
      <c r="G1385" s="2142" t="e">
        <f t="shared" si="282"/>
        <v>#DIV/0!</v>
      </c>
      <c r="H1385" s="1635">
        <f t="shared" si="286"/>
        <v>0</v>
      </c>
    </row>
    <row r="1386" spans="1:29" ht="17.100000000000001" hidden="1" customHeight="1">
      <c r="A1386" s="1666"/>
      <c r="B1386" s="1678"/>
      <c r="C1386" s="2145" t="s">
        <v>887</v>
      </c>
      <c r="D1386" s="1703" t="s">
        <v>759</v>
      </c>
      <c r="E1386" s="2301">
        <v>0</v>
      </c>
      <c r="F1386" s="2301">
        <f t="shared" si="289"/>
        <v>0</v>
      </c>
      <c r="G1386" s="2142" t="e">
        <f t="shared" si="282"/>
        <v>#DIV/0!</v>
      </c>
      <c r="H1386" s="1635">
        <f t="shared" si="286"/>
        <v>0</v>
      </c>
    </row>
    <row r="1387" spans="1:29" ht="17.100000000000001" hidden="1" customHeight="1">
      <c r="A1387" s="1666"/>
      <c r="B1387" s="1678"/>
      <c r="C1387" s="2145" t="s">
        <v>829</v>
      </c>
      <c r="D1387" s="1703" t="s">
        <v>759</v>
      </c>
      <c r="E1387" s="2301">
        <v>0</v>
      </c>
      <c r="F1387" s="2301">
        <f t="shared" si="289"/>
        <v>0</v>
      </c>
      <c r="G1387" s="2142" t="e">
        <f t="shared" si="282"/>
        <v>#DIV/0!</v>
      </c>
      <c r="H1387" s="1635">
        <f t="shared" si="286"/>
        <v>0</v>
      </c>
    </row>
    <row r="1388" spans="1:29" ht="17.100000000000001" hidden="1" customHeight="1">
      <c r="A1388" s="1666"/>
      <c r="B1388" s="1678"/>
      <c r="C1388" s="2145" t="s">
        <v>889</v>
      </c>
      <c r="D1388" s="2146" t="s">
        <v>763</v>
      </c>
      <c r="E1388" s="2301">
        <v>0</v>
      </c>
      <c r="F1388" s="2301">
        <f t="shared" si="289"/>
        <v>0</v>
      </c>
      <c r="G1388" s="2142" t="e">
        <f t="shared" si="282"/>
        <v>#DIV/0!</v>
      </c>
      <c r="H1388" s="1635">
        <f t="shared" si="286"/>
        <v>0</v>
      </c>
    </row>
    <row r="1389" spans="1:29" ht="17.100000000000001" hidden="1" customHeight="1">
      <c r="A1389" s="1666"/>
      <c r="B1389" s="1678"/>
      <c r="C1389" s="2145" t="s">
        <v>833</v>
      </c>
      <c r="D1389" s="2146" t="s">
        <v>763</v>
      </c>
      <c r="E1389" s="2301">
        <v>0</v>
      </c>
      <c r="F1389" s="2301">
        <f t="shared" si="289"/>
        <v>0</v>
      </c>
      <c r="G1389" s="2142" t="e">
        <f t="shared" si="282"/>
        <v>#DIV/0!</v>
      </c>
      <c r="H1389" s="1635">
        <f t="shared" si="286"/>
        <v>0</v>
      </c>
    </row>
    <row r="1390" spans="1:29" ht="29.25" hidden="1" customHeight="1">
      <c r="A1390" s="1666"/>
      <c r="B1390" s="1678"/>
      <c r="C1390" s="2145" t="s">
        <v>890</v>
      </c>
      <c r="D1390" s="2146" t="s">
        <v>765</v>
      </c>
      <c r="E1390" s="2301">
        <v>0</v>
      </c>
      <c r="F1390" s="2301">
        <f t="shared" si="289"/>
        <v>0</v>
      </c>
      <c r="G1390" s="2142" t="e">
        <f t="shared" si="282"/>
        <v>#DIV/0!</v>
      </c>
      <c r="H1390" s="1635">
        <f t="shared" si="286"/>
        <v>0</v>
      </c>
    </row>
    <row r="1391" spans="1:29" ht="28.5" hidden="1" customHeight="1">
      <c r="A1391" s="1666"/>
      <c r="B1391" s="1678"/>
      <c r="C1391" s="2145" t="s">
        <v>835</v>
      </c>
      <c r="D1391" s="2146" t="s">
        <v>765</v>
      </c>
      <c r="E1391" s="2301">
        <v>0</v>
      </c>
      <c r="F1391" s="2301">
        <f t="shared" si="289"/>
        <v>0</v>
      </c>
      <c r="G1391" s="2142" t="e">
        <f t="shared" si="282"/>
        <v>#DIV/0!</v>
      </c>
      <c r="H1391" s="1635">
        <f t="shared" si="286"/>
        <v>0</v>
      </c>
    </row>
    <row r="1392" spans="1:29" ht="27.75" hidden="1" customHeight="1">
      <c r="A1392" s="1666"/>
      <c r="B1392" s="1678"/>
      <c r="C1392" s="2145" t="s">
        <v>1003</v>
      </c>
      <c r="D1392" s="2146" t="s">
        <v>765</v>
      </c>
      <c r="E1392" s="2301">
        <v>0</v>
      </c>
      <c r="F1392" s="2301">
        <f t="shared" si="289"/>
        <v>0</v>
      </c>
      <c r="G1392" s="2142" t="e">
        <f t="shared" si="282"/>
        <v>#DIV/0!</v>
      </c>
      <c r="H1392" s="1635">
        <f t="shared" si="286"/>
        <v>0</v>
      </c>
    </row>
    <row r="1393" spans="1:8" ht="27.75" hidden="1" customHeight="1">
      <c r="A1393" s="1666"/>
      <c r="B1393" s="1678"/>
      <c r="C1393" s="2145" t="s">
        <v>837</v>
      </c>
      <c r="D1393" s="2146" t="s">
        <v>765</v>
      </c>
      <c r="E1393" s="2301">
        <v>0</v>
      </c>
      <c r="F1393" s="2301">
        <f>H1393</f>
        <v>0</v>
      </c>
      <c r="G1393" s="2142" t="e">
        <f t="shared" si="282"/>
        <v>#DIV/0!</v>
      </c>
      <c r="H1393" s="1635">
        <f t="shared" si="286"/>
        <v>0</v>
      </c>
    </row>
    <row r="1394" spans="1:8" ht="27.75" hidden="1" customHeight="1">
      <c r="A1394" s="1666"/>
      <c r="B1394" s="1678"/>
      <c r="C1394" s="2145" t="s">
        <v>1120</v>
      </c>
      <c r="D1394" s="2146" t="s">
        <v>765</v>
      </c>
      <c r="E1394" s="2301">
        <v>0</v>
      </c>
      <c r="F1394" s="2301">
        <f t="shared" si="289"/>
        <v>0</v>
      </c>
      <c r="G1394" s="2142" t="e">
        <f t="shared" si="282"/>
        <v>#DIV/0!</v>
      </c>
      <c r="H1394" s="1635">
        <f t="shared" si="286"/>
        <v>0</v>
      </c>
    </row>
    <row r="1395" spans="1:8" ht="30" hidden="1" customHeight="1">
      <c r="A1395" s="1666"/>
      <c r="B1395" s="1678"/>
      <c r="C1395" s="2145" t="s">
        <v>1121</v>
      </c>
      <c r="D1395" s="2146" t="s">
        <v>765</v>
      </c>
      <c r="E1395" s="2301">
        <v>0</v>
      </c>
      <c r="F1395" s="2301">
        <f t="shared" si="289"/>
        <v>0</v>
      </c>
      <c r="G1395" s="2142" t="e">
        <f t="shared" si="282"/>
        <v>#DIV/0!</v>
      </c>
      <c r="H1395" s="1635">
        <f t="shared" si="286"/>
        <v>0</v>
      </c>
    </row>
    <row r="1396" spans="1:8" ht="17.100000000000001" hidden="1" customHeight="1">
      <c r="A1396" s="1666"/>
      <c r="B1396" s="1678"/>
      <c r="C1396" s="2145" t="s">
        <v>892</v>
      </c>
      <c r="D1396" s="2146" t="s">
        <v>784</v>
      </c>
      <c r="E1396" s="2301">
        <v>0</v>
      </c>
      <c r="F1396" s="2301">
        <f t="shared" si="289"/>
        <v>0</v>
      </c>
      <c r="G1396" s="2142" t="e">
        <f t="shared" si="282"/>
        <v>#DIV/0!</v>
      </c>
      <c r="H1396" s="1635">
        <f t="shared" si="286"/>
        <v>0</v>
      </c>
    </row>
    <row r="1397" spans="1:8" ht="17.100000000000001" hidden="1" customHeight="1">
      <c r="A1397" s="1666"/>
      <c r="B1397" s="1678"/>
      <c r="C1397" s="2145" t="s">
        <v>846</v>
      </c>
      <c r="D1397" s="2146" t="s">
        <v>784</v>
      </c>
      <c r="E1397" s="2301">
        <v>0</v>
      </c>
      <c r="F1397" s="2301">
        <f t="shared" si="289"/>
        <v>0</v>
      </c>
      <c r="G1397" s="2142" t="e">
        <f t="shared" si="282"/>
        <v>#DIV/0!</v>
      </c>
      <c r="H1397" s="1635">
        <f t="shared" si="286"/>
        <v>0</v>
      </c>
    </row>
    <row r="1398" spans="1:8" ht="17.100000000000001" hidden="1" customHeight="1">
      <c r="A1398" s="1666"/>
      <c r="B1398" s="1678"/>
      <c r="C1398" s="2145" t="s">
        <v>895</v>
      </c>
      <c r="D1398" s="2146" t="s">
        <v>806</v>
      </c>
      <c r="E1398" s="2301">
        <v>0</v>
      </c>
      <c r="F1398" s="2301">
        <f t="shared" si="289"/>
        <v>0</v>
      </c>
      <c r="G1398" s="2142" t="e">
        <f t="shared" si="282"/>
        <v>#DIV/0!</v>
      </c>
      <c r="H1398" s="1635">
        <f t="shared" si="286"/>
        <v>0</v>
      </c>
    </row>
    <row r="1399" spans="1:8" ht="17.100000000000001" hidden="1" customHeight="1">
      <c r="A1399" s="1666"/>
      <c r="B1399" s="1678"/>
      <c r="C1399" s="2246" t="s">
        <v>854</v>
      </c>
      <c r="D1399" s="2280" t="s">
        <v>806</v>
      </c>
      <c r="E1399" s="2301">
        <v>0</v>
      </c>
      <c r="F1399" s="2301">
        <f t="shared" si="289"/>
        <v>0</v>
      </c>
      <c r="G1399" s="2142" t="e">
        <f t="shared" si="282"/>
        <v>#DIV/0!</v>
      </c>
      <c r="H1399" s="1635">
        <f t="shared" si="286"/>
        <v>0</v>
      </c>
    </row>
    <row r="1400" spans="1:8" ht="17.100000000000001" hidden="1" customHeight="1">
      <c r="A1400" s="1666"/>
      <c r="B1400" s="1678"/>
      <c r="C1400" s="1809"/>
      <c r="D1400" s="2302"/>
      <c r="E1400" s="2303"/>
      <c r="F1400" s="2303"/>
      <c r="G1400" s="2070"/>
      <c r="H1400" s="1635">
        <f t="shared" si="286"/>
        <v>0</v>
      </c>
    </row>
    <row r="1401" spans="1:8" ht="17.100000000000001" hidden="1" customHeight="1">
      <c r="A1401" s="1666"/>
      <c r="B1401" s="1678"/>
      <c r="C1401" s="3497" t="s">
        <v>810</v>
      </c>
      <c r="D1401" s="3497"/>
      <c r="E1401" s="1672">
        <f t="shared" ref="E1401:F1401" si="290">E1402</f>
        <v>43150</v>
      </c>
      <c r="F1401" s="1672">
        <f t="shared" si="290"/>
        <v>0</v>
      </c>
      <c r="G1401" s="1673">
        <f t="shared" si="282"/>
        <v>0</v>
      </c>
      <c r="H1401" s="1635">
        <f t="shared" si="286"/>
        <v>0</v>
      </c>
    </row>
    <row r="1402" spans="1:8" ht="17.100000000000001" hidden="1" customHeight="1">
      <c r="A1402" s="1666"/>
      <c r="B1402" s="1678"/>
      <c r="C1402" s="3656" t="s">
        <v>811</v>
      </c>
      <c r="D1402" s="3657"/>
      <c r="E1402" s="1904">
        <f>SUM(E1403:E1403)</f>
        <v>43150</v>
      </c>
      <c r="F1402" s="1904">
        <f t="shared" ref="F1402" si="291">SUM(F1403:F1403)</f>
        <v>0</v>
      </c>
      <c r="G1402" s="1905">
        <f t="shared" si="282"/>
        <v>0</v>
      </c>
      <c r="H1402" s="1635">
        <f t="shared" si="286"/>
        <v>0</v>
      </c>
    </row>
    <row r="1403" spans="1:8" ht="17.100000000000001" hidden="1" customHeight="1" thickBot="1">
      <c r="A1403" s="1666"/>
      <c r="B1403" s="1678"/>
      <c r="C1403" s="2304" t="s">
        <v>812</v>
      </c>
      <c r="D1403" s="1720" t="s">
        <v>861</v>
      </c>
      <c r="E1403" s="1904">
        <v>43150</v>
      </c>
      <c r="F1403" s="1904">
        <f>H1403</f>
        <v>0</v>
      </c>
      <c r="G1403" s="1905">
        <f t="shared" si="282"/>
        <v>0</v>
      </c>
      <c r="H1403" s="1635">
        <f t="shared" si="286"/>
        <v>0</v>
      </c>
    </row>
    <row r="1404" spans="1:8" ht="17.100000000000001" hidden="1" customHeight="1" thickBot="1">
      <c r="A1404" s="1666"/>
      <c r="B1404" s="1678"/>
      <c r="C1404" s="2001"/>
      <c r="D1404" s="2022"/>
      <c r="E1404" s="1749"/>
      <c r="F1404" s="1749"/>
      <c r="G1404" s="1905"/>
      <c r="H1404" s="1635">
        <f t="shared" si="286"/>
        <v>0</v>
      </c>
    </row>
    <row r="1405" spans="1:8" ht="17.100000000000001" customHeight="1" thickBot="1">
      <c r="A1405" s="1666"/>
      <c r="B1405" s="1734" t="s">
        <v>1122</v>
      </c>
      <c r="C1405" s="1893"/>
      <c r="D1405" s="1736" t="s">
        <v>568</v>
      </c>
      <c r="E1405" s="1737">
        <f>E1406+E1480</f>
        <v>12686998</v>
      </c>
      <c r="F1405" s="1737">
        <f>F1406+F1480</f>
        <v>13198187</v>
      </c>
      <c r="G1405" s="1738">
        <f t="shared" si="282"/>
        <v>1.0402923528481678</v>
      </c>
      <c r="H1405" s="1635">
        <f t="shared" si="286"/>
        <v>0</v>
      </c>
    </row>
    <row r="1406" spans="1:8" ht="17.100000000000001" customHeight="1">
      <c r="A1406" s="1666"/>
      <c r="B1406" s="1678"/>
      <c r="C1406" s="3472" t="s">
        <v>755</v>
      </c>
      <c r="D1406" s="3472"/>
      <c r="E1406" s="1672">
        <f>E1407+E1432+E1435</f>
        <v>12666998</v>
      </c>
      <c r="F1406" s="1672">
        <f>F1407+F1432+F1435</f>
        <v>13158477</v>
      </c>
      <c r="G1406" s="1673">
        <f t="shared" si="282"/>
        <v>1.0387999587589736</v>
      </c>
      <c r="H1406" s="1635">
        <f t="shared" si="286"/>
        <v>0</v>
      </c>
    </row>
    <row r="1407" spans="1:8" ht="17.100000000000001" customHeight="1">
      <c r="A1407" s="1666"/>
      <c r="B1407" s="1678"/>
      <c r="C1407" s="3651" t="s">
        <v>756</v>
      </c>
      <c r="D1407" s="3651"/>
      <c r="E1407" s="1904">
        <f t="shared" ref="E1407:F1407" si="292">E1408+E1418</f>
        <v>11553628</v>
      </c>
      <c r="F1407" s="1904">
        <f t="shared" si="292"/>
        <v>13083792</v>
      </c>
      <c r="G1407" s="1905">
        <f t="shared" si="282"/>
        <v>1.1324401304940752</v>
      </c>
      <c r="H1407" s="1635">
        <f t="shared" si="286"/>
        <v>0</v>
      </c>
    </row>
    <row r="1408" spans="1:8" ht="17.100000000000001" customHeight="1">
      <c r="A1408" s="1666"/>
      <c r="B1408" s="1678"/>
      <c r="C1408" s="3669" t="s">
        <v>757</v>
      </c>
      <c r="D1408" s="3669"/>
      <c r="E1408" s="1906">
        <f>SUM(E1409:E1416)</f>
        <v>10632064</v>
      </c>
      <c r="F1408" s="1906">
        <f>SUM(F1409:F1416)</f>
        <v>12054522</v>
      </c>
      <c r="G1408" s="1907">
        <f t="shared" si="282"/>
        <v>1.1337894504773485</v>
      </c>
      <c r="H1408" s="1635">
        <f t="shared" si="286"/>
        <v>0</v>
      </c>
    </row>
    <row r="1409" spans="1:29" ht="17.100000000000001" customHeight="1">
      <c r="A1409" s="1666"/>
      <c r="B1409" s="1678"/>
      <c r="C1409" s="2145" t="s">
        <v>758</v>
      </c>
      <c r="D1409" s="2146" t="s">
        <v>759</v>
      </c>
      <c r="E1409" s="1904">
        <v>8231552</v>
      </c>
      <c r="F1409" s="1904">
        <f>H1409</f>
        <v>5485566</v>
      </c>
      <c r="G1409" s="1905">
        <f t="shared" si="282"/>
        <v>0.66640725831532133</v>
      </c>
      <c r="H1409" s="1635">
        <f t="shared" si="286"/>
        <v>5485566</v>
      </c>
      <c r="AC1409" s="1636">
        <v>5485566</v>
      </c>
    </row>
    <row r="1410" spans="1:29" ht="17.100000000000001" customHeight="1">
      <c r="A1410" s="1666"/>
      <c r="B1410" s="1678"/>
      <c r="C1410" s="2145" t="s">
        <v>760</v>
      </c>
      <c r="D1410" s="2146" t="s">
        <v>761</v>
      </c>
      <c r="E1410" s="1904">
        <v>681345</v>
      </c>
      <c r="F1410" s="1904">
        <f t="shared" ref="F1410:F1414" si="293">H1410</f>
        <v>415340</v>
      </c>
      <c r="G1410" s="1905">
        <f t="shared" si="282"/>
        <v>0.60958838767437939</v>
      </c>
      <c r="H1410" s="1635">
        <f t="shared" si="286"/>
        <v>415340</v>
      </c>
      <c r="AC1410" s="1636">
        <v>415340</v>
      </c>
    </row>
    <row r="1411" spans="1:29" ht="17.100000000000001" customHeight="1">
      <c r="A1411" s="1666"/>
      <c r="B1411" s="1678"/>
      <c r="C1411" s="2145" t="s">
        <v>762</v>
      </c>
      <c r="D1411" s="2146" t="s">
        <v>763</v>
      </c>
      <c r="E1411" s="1904">
        <v>1479905</v>
      </c>
      <c r="F1411" s="1904">
        <f t="shared" si="293"/>
        <v>1692809</v>
      </c>
      <c r="G1411" s="1905">
        <f t="shared" si="282"/>
        <v>1.1438632885218984</v>
      </c>
      <c r="H1411" s="1635">
        <f t="shared" si="286"/>
        <v>1692809</v>
      </c>
      <c r="AC1411" s="1636">
        <v>1692809</v>
      </c>
    </row>
    <row r="1412" spans="1:29" ht="17.100000000000001" customHeight="1">
      <c r="A1412" s="1666"/>
      <c r="B1412" s="1678"/>
      <c r="C1412" s="2246" t="s">
        <v>764</v>
      </c>
      <c r="D1412" s="2280" t="s">
        <v>1440</v>
      </c>
      <c r="E1412" s="1904">
        <v>211569</v>
      </c>
      <c r="F1412" s="1904">
        <f t="shared" si="293"/>
        <v>241287</v>
      </c>
      <c r="G1412" s="1905">
        <f t="shared" si="282"/>
        <v>1.1404648128979198</v>
      </c>
      <c r="H1412" s="1635">
        <f t="shared" si="286"/>
        <v>241287</v>
      </c>
      <c r="AC1412" s="1636">
        <v>241287</v>
      </c>
    </row>
    <row r="1413" spans="1:29" ht="17.100000000000001" hidden="1" customHeight="1">
      <c r="A1413" s="1666"/>
      <c r="B1413" s="1678"/>
      <c r="C1413" s="1719" t="s">
        <v>766</v>
      </c>
      <c r="D1413" s="2305" t="s">
        <v>767</v>
      </c>
      <c r="E1413" s="1904"/>
      <c r="F1413" s="1904">
        <f t="shared" si="293"/>
        <v>0</v>
      </c>
      <c r="G1413" s="1905" t="e">
        <f t="shared" si="282"/>
        <v>#DIV/0!</v>
      </c>
      <c r="H1413" s="1635">
        <f t="shared" si="286"/>
        <v>0</v>
      </c>
      <c r="AC1413" s="1636">
        <v>0</v>
      </c>
    </row>
    <row r="1414" spans="1:29" ht="17.100000000000001" customHeight="1">
      <c r="A1414" s="1666"/>
      <c r="B1414" s="1678"/>
      <c r="C1414" s="1719" t="s">
        <v>768</v>
      </c>
      <c r="D1414" s="2305" t="s">
        <v>769</v>
      </c>
      <c r="E1414" s="1904">
        <v>27693</v>
      </c>
      <c r="F1414" s="1904">
        <f t="shared" si="293"/>
        <v>91370</v>
      </c>
      <c r="G1414" s="1905">
        <f t="shared" si="282"/>
        <v>3.2993897374787853</v>
      </c>
      <c r="H1414" s="1635">
        <f t="shared" si="286"/>
        <v>91370</v>
      </c>
      <c r="AC1414" s="1636">
        <v>91370</v>
      </c>
    </row>
    <row r="1415" spans="1:29" ht="17.100000000000001" customHeight="1">
      <c r="A1415" s="1666"/>
      <c r="B1415" s="1678"/>
      <c r="C1415" s="2145" t="s">
        <v>1101</v>
      </c>
      <c r="D1415" s="2146" t="s">
        <v>1102</v>
      </c>
      <c r="E1415" s="1904">
        <v>0</v>
      </c>
      <c r="F1415" s="1904">
        <f>H1415</f>
        <v>3813674</v>
      </c>
      <c r="G1415" s="1905"/>
      <c r="H1415" s="1635">
        <f t="shared" si="286"/>
        <v>3813674</v>
      </c>
      <c r="AC1415" s="1636">
        <v>3813674</v>
      </c>
    </row>
    <row r="1416" spans="1:29" ht="17.100000000000001" customHeight="1">
      <c r="A1416" s="1666"/>
      <c r="B1416" s="1678"/>
      <c r="C1416" s="2145" t="s">
        <v>1103</v>
      </c>
      <c r="D1416" s="2146" t="s">
        <v>1104</v>
      </c>
      <c r="E1416" s="1904">
        <v>0</v>
      </c>
      <c r="F1416" s="1904">
        <f>H1416</f>
        <v>314476</v>
      </c>
      <c r="G1416" s="1905"/>
      <c r="H1416" s="1635">
        <f t="shared" si="286"/>
        <v>314476</v>
      </c>
      <c r="AC1416" s="1636">
        <v>314476</v>
      </c>
    </row>
    <row r="1417" spans="1:29" ht="17.100000000000001" customHeight="1">
      <c r="A1417" s="1666"/>
      <c r="B1417" s="1678"/>
      <c r="C1417" s="1699"/>
      <c r="D1417" s="1699"/>
      <c r="E1417" s="1683"/>
      <c r="F1417" s="1683"/>
      <c r="G1417" s="1684"/>
      <c r="H1417" s="1635">
        <f t="shared" si="286"/>
        <v>0</v>
      </c>
    </row>
    <row r="1418" spans="1:29" ht="17.100000000000001" customHeight="1">
      <c r="A1418" s="1666"/>
      <c r="B1418" s="1678"/>
      <c r="C1418" s="3652" t="s">
        <v>770</v>
      </c>
      <c r="D1418" s="3652"/>
      <c r="E1418" s="1906">
        <f>SUM(E1419:E1430)</f>
        <v>921564</v>
      </c>
      <c r="F1418" s="1906">
        <f>SUM(F1419:F1430)</f>
        <v>1029270</v>
      </c>
      <c r="G1418" s="1907">
        <f t="shared" si="282"/>
        <v>1.1168730549370418</v>
      </c>
      <c r="H1418" s="1635">
        <f t="shared" si="286"/>
        <v>0</v>
      </c>
    </row>
    <row r="1419" spans="1:29" ht="17.100000000000001" customHeight="1">
      <c r="A1419" s="1666"/>
      <c r="B1419" s="1678"/>
      <c r="C1419" s="2145" t="s">
        <v>771</v>
      </c>
      <c r="D1419" s="2146" t="s">
        <v>772</v>
      </c>
      <c r="E1419" s="1904">
        <v>36513</v>
      </c>
      <c r="F1419" s="1904">
        <f>H1419</f>
        <v>36513</v>
      </c>
      <c r="G1419" s="1905">
        <f t="shared" si="282"/>
        <v>1</v>
      </c>
      <c r="H1419" s="1635">
        <f t="shared" si="286"/>
        <v>36513</v>
      </c>
      <c r="AC1419" s="1636">
        <v>36513</v>
      </c>
    </row>
    <row r="1420" spans="1:29" ht="17.100000000000001" hidden="1" customHeight="1">
      <c r="A1420" s="1666"/>
      <c r="B1420" s="1678"/>
      <c r="C1420" s="2145" t="s">
        <v>773</v>
      </c>
      <c r="D1420" s="2146" t="s">
        <v>774</v>
      </c>
      <c r="E1420" s="1904">
        <v>31238</v>
      </c>
      <c r="F1420" s="1904">
        <f t="shared" ref="F1420:F1430" si="294">H1420</f>
        <v>0</v>
      </c>
      <c r="G1420" s="1905">
        <f t="shared" si="282"/>
        <v>0</v>
      </c>
      <c r="H1420" s="1635">
        <f t="shared" si="286"/>
        <v>0</v>
      </c>
      <c r="AC1420" s="1636">
        <v>0</v>
      </c>
    </row>
    <row r="1421" spans="1:29" ht="17.100000000000001" customHeight="1">
      <c r="A1421" s="1666"/>
      <c r="B1421" s="1678"/>
      <c r="C1421" s="2145" t="s">
        <v>777</v>
      </c>
      <c r="D1421" s="2146" t="s">
        <v>778</v>
      </c>
      <c r="E1421" s="1904">
        <v>246011</v>
      </c>
      <c r="F1421" s="1904">
        <f t="shared" si="294"/>
        <v>246011</v>
      </c>
      <c r="G1421" s="1905">
        <f t="shared" si="282"/>
        <v>1</v>
      </c>
      <c r="H1421" s="1635">
        <f t="shared" si="286"/>
        <v>246011</v>
      </c>
      <c r="AC1421" s="1636">
        <v>246011</v>
      </c>
    </row>
    <row r="1422" spans="1:29" ht="17.100000000000001" customHeight="1">
      <c r="A1422" s="1666"/>
      <c r="B1422" s="1678"/>
      <c r="C1422" s="2145" t="s">
        <v>779</v>
      </c>
      <c r="D1422" s="2146" t="s">
        <v>780</v>
      </c>
      <c r="E1422" s="1904">
        <v>66990</v>
      </c>
      <c r="F1422" s="1904">
        <f t="shared" si="294"/>
        <v>347880</v>
      </c>
      <c r="G1422" s="1905">
        <f t="shared" si="282"/>
        <v>5.1930138826690548</v>
      </c>
      <c r="H1422" s="1635">
        <f t="shared" si="286"/>
        <v>347880</v>
      </c>
      <c r="AC1422" s="1636">
        <v>347880</v>
      </c>
    </row>
    <row r="1423" spans="1:29" ht="17.100000000000001" customHeight="1">
      <c r="A1423" s="1666"/>
      <c r="B1423" s="1678"/>
      <c r="C1423" s="2145" t="s">
        <v>781</v>
      </c>
      <c r="D1423" s="2146" t="s">
        <v>782</v>
      </c>
      <c r="E1423" s="1904">
        <v>14450</v>
      </c>
      <c r="F1423" s="1904">
        <f t="shared" si="294"/>
        <v>9500</v>
      </c>
      <c r="G1423" s="1905">
        <f t="shared" si="282"/>
        <v>0.65743944636678198</v>
      </c>
      <c r="H1423" s="1635">
        <f t="shared" si="286"/>
        <v>9500</v>
      </c>
      <c r="AC1423" s="1636">
        <v>9500</v>
      </c>
    </row>
    <row r="1424" spans="1:29" ht="17.100000000000001" customHeight="1">
      <c r="A1424" s="1666"/>
      <c r="B1424" s="1678"/>
      <c r="C1424" s="2145" t="s">
        <v>783</v>
      </c>
      <c r="D1424" s="2146" t="s">
        <v>784</v>
      </c>
      <c r="E1424" s="1904">
        <v>35802</v>
      </c>
      <c r="F1424" s="1904">
        <f t="shared" si="294"/>
        <v>34493</v>
      </c>
      <c r="G1424" s="1905">
        <f t="shared" si="282"/>
        <v>0.96343779677113006</v>
      </c>
      <c r="H1424" s="1635">
        <f t="shared" si="286"/>
        <v>34493</v>
      </c>
      <c r="AC1424" s="1636">
        <v>34493</v>
      </c>
    </row>
    <row r="1425" spans="1:29" ht="17.100000000000001" hidden="1" customHeight="1">
      <c r="A1425" s="1666"/>
      <c r="B1425" s="1678"/>
      <c r="C1425" s="2306" t="s">
        <v>787</v>
      </c>
      <c r="D1425" s="2146" t="s">
        <v>788</v>
      </c>
      <c r="E1425" s="1904"/>
      <c r="F1425" s="1904">
        <f t="shared" si="294"/>
        <v>0</v>
      </c>
      <c r="G1425" s="1905" t="e">
        <f t="shared" si="282"/>
        <v>#DIV/0!</v>
      </c>
      <c r="H1425" s="1635">
        <f t="shared" si="286"/>
        <v>0</v>
      </c>
      <c r="AC1425" s="1636">
        <v>0</v>
      </c>
    </row>
    <row r="1426" spans="1:29" ht="17.100000000000001" customHeight="1">
      <c r="A1426" s="1666"/>
      <c r="B1426" s="1678"/>
      <c r="C1426" s="2145" t="s">
        <v>791</v>
      </c>
      <c r="D1426" s="2146" t="s">
        <v>792</v>
      </c>
      <c r="E1426" s="1904">
        <v>20872</v>
      </c>
      <c r="F1426" s="1904">
        <f t="shared" si="294"/>
        <v>26504</v>
      </c>
      <c r="G1426" s="1905">
        <f t="shared" si="282"/>
        <v>1.269835185894979</v>
      </c>
      <c r="H1426" s="1635">
        <f t="shared" si="286"/>
        <v>26504</v>
      </c>
      <c r="AC1426" s="1636">
        <v>26504</v>
      </c>
    </row>
    <row r="1427" spans="1:29" ht="17.100000000000001" hidden="1" customHeight="1">
      <c r="A1427" s="1666"/>
      <c r="B1427" s="1678"/>
      <c r="C1427" s="2145" t="s">
        <v>793</v>
      </c>
      <c r="D1427" s="2146" t="s">
        <v>794</v>
      </c>
      <c r="E1427" s="1904"/>
      <c r="F1427" s="1904">
        <f t="shared" si="294"/>
        <v>0</v>
      </c>
      <c r="G1427" s="1905" t="e">
        <f t="shared" si="282"/>
        <v>#DIV/0!</v>
      </c>
      <c r="H1427" s="1635">
        <f t="shared" si="286"/>
        <v>0</v>
      </c>
    </row>
    <row r="1428" spans="1:29" ht="17.100000000000001" customHeight="1">
      <c r="A1428" s="1666"/>
      <c r="B1428" s="1678"/>
      <c r="C1428" s="2145" t="s">
        <v>795</v>
      </c>
      <c r="D1428" s="2146" t="s">
        <v>796</v>
      </c>
      <c r="E1428" s="1904">
        <v>289099</v>
      </c>
      <c r="F1428" s="1904">
        <f t="shared" si="294"/>
        <v>313080</v>
      </c>
      <c r="G1428" s="1905">
        <f t="shared" si="282"/>
        <v>1.0829508230744485</v>
      </c>
      <c r="H1428" s="1635">
        <f t="shared" si="286"/>
        <v>313080</v>
      </c>
      <c r="AC1428" s="1636">
        <v>313080</v>
      </c>
    </row>
    <row r="1429" spans="1:29" ht="17.100000000000001" customHeight="1">
      <c r="A1429" s="1666"/>
      <c r="B1429" s="1678"/>
      <c r="C1429" s="2306" t="s">
        <v>803</v>
      </c>
      <c r="D1429" s="2146" t="s">
        <v>804</v>
      </c>
      <c r="E1429" s="1904">
        <v>200</v>
      </c>
      <c r="F1429" s="1904">
        <f t="shared" si="294"/>
        <v>200</v>
      </c>
      <c r="G1429" s="1905">
        <f t="shared" si="282"/>
        <v>1</v>
      </c>
      <c r="H1429" s="1635">
        <f t="shared" si="286"/>
        <v>200</v>
      </c>
      <c r="AC1429" s="1636">
        <v>200</v>
      </c>
    </row>
    <row r="1430" spans="1:29" ht="19.5" customHeight="1">
      <c r="A1430" s="1666"/>
      <c r="B1430" s="1678"/>
      <c r="C1430" s="2145" t="s">
        <v>805</v>
      </c>
      <c r="D1430" s="2146" t="s">
        <v>806</v>
      </c>
      <c r="E1430" s="1904">
        <v>180389</v>
      </c>
      <c r="F1430" s="1904">
        <f t="shared" si="294"/>
        <v>15089</v>
      </c>
      <c r="G1430" s="1905">
        <f t="shared" si="282"/>
        <v>8.3647007300888629E-2</v>
      </c>
      <c r="H1430" s="1635">
        <f t="shared" si="286"/>
        <v>15089</v>
      </c>
      <c r="AC1430" s="1636">
        <v>15089</v>
      </c>
    </row>
    <row r="1431" spans="1:29" ht="17.100000000000001" customHeight="1">
      <c r="A1431" s="1666"/>
      <c r="B1431" s="1678"/>
      <c r="C1431" s="1699"/>
      <c r="D1431" s="1699"/>
      <c r="E1431" s="1683"/>
      <c r="F1431" s="1683"/>
      <c r="G1431" s="1684"/>
      <c r="H1431" s="1635">
        <f t="shared" si="286"/>
        <v>0</v>
      </c>
    </row>
    <row r="1432" spans="1:29" ht="17.100000000000001" customHeight="1">
      <c r="A1432" s="1666"/>
      <c r="B1432" s="1678"/>
      <c r="C1432" s="3688" t="s">
        <v>1042</v>
      </c>
      <c r="D1432" s="3688"/>
      <c r="E1432" s="2307">
        <f t="shared" ref="E1432:F1432" si="295">E1433</f>
        <v>14600</v>
      </c>
      <c r="F1432" s="2307">
        <f t="shared" si="295"/>
        <v>14600</v>
      </c>
      <c r="G1432" s="2308">
        <f t="shared" ref="G1432:G1513" si="296">F1432/E1432</f>
        <v>1</v>
      </c>
      <c r="H1432" s="1635">
        <f t="shared" si="286"/>
        <v>0</v>
      </c>
    </row>
    <row r="1433" spans="1:29" ht="17.100000000000001" customHeight="1">
      <c r="A1433" s="1666"/>
      <c r="B1433" s="1678"/>
      <c r="C1433" s="2309" t="s">
        <v>808</v>
      </c>
      <c r="D1433" s="2202" t="s">
        <v>809</v>
      </c>
      <c r="E1433" s="2039">
        <v>14600</v>
      </c>
      <c r="F1433" s="2039">
        <f>H1433</f>
        <v>14600</v>
      </c>
      <c r="G1433" s="1905">
        <f t="shared" si="296"/>
        <v>1</v>
      </c>
      <c r="H1433" s="1635">
        <f t="shared" si="286"/>
        <v>14600</v>
      </c>
      <c r="AC1433" s="1636">
        <v>14600</v>
      </c>
    </row>
    <row r="1434" spans="1:29">
      <c r="A1434" s="1666"/>
      <c r="B1434" s="1678"/>
      <c r="C1434" s="2310"/>
      <c r="D1434" s="2291"/>
      <c r="E1434" s="2039"/>
      <c r="F1434" s="2039"/>
      <c r="G1434" s="1905"/>
      <c r="H1434" s="1635">
        <f t="shared" si="286"/>
        <v>0</v>
      </c>
    </row>
    <row r="1435" spans="1:29" ht="17.25" customHeight="1">
      <c r="A1435" s="1666"/>
      <c r="B1435" s="1678"/>
      <c r="C1435" s="3628" t="s">
        <v>825</v>
      </c>
      <c r="D1435" s="3495"/>
      <c r="E1435" s="1749">
        <f>SUM(E1436:E1478)</f>
        <v>1098770</v>
      </c>
      <c r="F1435" s="1749">
        <f>SUM(F1436:F1478)</f>
        <v>60085</v>
      </c>
      <c r="G1435" s="1750">
        <f t="shared" si="296"/>
        <v>5.4683873786142687E-2</v>
      </c>
      <c r="H1435" s="1635">
        <f t="shared" si="286"/>
        <v>0</v>
      </c>
    </row>
    <row r="1436" spans="1:29" ht="54" hidden="1" customHeight="1">
      <c r="A1436" s="1666"/>
      <c r="B1436" s="1678"/>
      <c r="C1436" s="2311" t="s">
        <v>573</v>
      </c>
      <c r="D1436" s="2312" t="s">
        <v>1047</v>
      </c>
      <c r="E1436" s="1904">
        <v>0</v>
      </c>
      <c r="F1436" s="1904">
        <f>H1436</f>
        <v>0</v>
      </c>
      <c r="G1436" s="1905" t="e">
        <f t="shared" si="296"/>
        <v>#DIV/0!</v>
      </c>
      <c r="H1436" s="1635">
        <f t="shared" si="286"/>
        <v>0</v>
      </c>
    </row>
    <row r="1437" spans="1:29" ht="51" hidden="1">
      <c r="A1437" s="1666"/>
      <c r="B1437" s="1678"/>
      <c r="C1437" s="2313" t="s">
        <v>486</v>
      </c>
      <c r="D1437" s="2312" t="s">
        <v>1047</v>
      </c>
      <c r="E1437" s="1904">
        <v>0</v>
      </c>
      <c r="F1437" s="1904">
        <f t="shared" ref="F1437:F1478" si="297">H1437</f>
        <v>0</v>
      </c>
      <c r="G1437" s="1905" t="e">
        <f t="shared" si="296"/>
        <v>#DIV/0!</v>
      </c>
      <c r="H1437" s="1635">
        <f t="shared" si="286"/>
        <v>0</v>
      </c>
    </row>
    <row r="1438" spans="1:29" ht="15.75" hidden="1" customHeight="1">
      <c r="A1438" s="1666"/>
      <c r="B1438" s="1678"/>
      <c r="C1438" s="2235" t="s">
        <v>637</v>
      </c>
      <c r="D1438" s="2312" t="s">
        <v>886</v>
      </c>
      <c r="E1438" s="1904">
        <v>0</v>
      </c>
      <c r="F1438" s="1904">
        <f t="shared" si="297"/>
        <v>0</v>
      </c>
      <c r="G1438" s="1905" t="e">
        <f t="shared" si="296"/>
        <v>#DIV/0!</v>
      </c>
      <c r="H1438" s="1635">
        <f t="shared" si="286"/>
        <v>0</v>
      </c>
    </row>
    <row r="1439" spans="1:29" ht="17.100000000000001" hidden="1" customHeight="1">
      <c r="A1439" s="1666"/>
      <c r="B1439" s="1678"/>
      <c r="C1439" s="2235" t="s">
        <v>1123</v>
      </c>
      <c r="D1439" s="2312" t="s">
        <v>809</v>
      </c>
      <c r="E1439" s="1904">
        <v>0</v>
      </c>
      <c r="F1439" s="1904">
        <f t="shared" si="297"/>
        <v>0</v>
      </c>
      <c r="G1439" s="1905" t="e">
        <f t="shared" si="296"/>
        <v>#DIV/0!</v>
      </c>
      <c r="H1439" s="1635">
        <f t="shared" si="286"/>
        <v>0</v>
      </c>
    </row>
    <row r="1440" spans="1:29" ht="17.100000000000001" hidden="1" customHeight="1">
      <c r="A1440" s="1666"/>
      <c r="B1440" s="1678"/>
      <c r="C1440" s="2235" t="s">
        <v>1019</v>
      </c>
      <c r="D1440" s="2312" t="s">
        <v>809</v>
      </c>
      <c r="E1440" s="1904">
        <v>0</v>
      </c>
      <c r="F1440" s="1904">
        <f t="shared" si="297"/>
        <v>0</v>
      </c>
      <c r="G1440" s="1905" t="e">
        <f t="shared" si="296"/>
        <v>#DIV/0!</v>
      </c>
      <c r="H1440" s="1635">
        <f t="shared" si="286"/>
        <v>0</v>
      </c>
    </row>
    <row r="1441" spans="1:29" ht="17.100000000000001" hidden="1" customHeight="1">
      <c r="A1441" s="1666"/>
      <c r="B1441" s="1678"/>
      <c r="C1441" s="2235" t="s">
        <v>959</v>
      </c>
      <c r="D1441" s="2146" t="s">
        <v>759</v>
      </c>
      <c r="E1441" s="1904">
        <v>586</v>
      </c>
      <c r="F1441" s="1904">
        <f t="shared" si="297"/>
        <v>0</v>
      </c>
      <c r="G1441" s="1905">
        <f t="shared" si="296"/>
        <v>0</v>
      </c>
      <c r="H1441" s="1635">
        <f t="shared" ref="H1441:H1513" si="298">SUM(I1441:AE1441)</f>
        <v>0</v>
      </c>
      <c r="AC1441" s="1636">
        <v>0</v>
      </c>
    </row>
    <row r="1442" spans="1:29" ht="17.100000000000001" customHeight="1">
      <c r="A1442" s="1666"/>
      <c r="B1442" s="1678"/>
      <c r="C1442" s="2145" t="s">
        <v>887</v>
      </c>
      <c r="D1442" s="2146" t="s">
        <v>759</v>
      </c>
      <c r="E1442" s="1904">
        <v>330918</v>
      </c>
      <c r="F1442" s="1904">
        <f t="shared" si="297"/>
        <v>27165</v>
      </c>
      <c r="G1442" s="1905">
        <f t="shared" si="296"/>
        <v>8.2089822856417596E-2</v>
      </c>
      <c r="H1442" s="1635">
        <f t="shared" si="298"/>
        <v>27165</v>
      </c>
      <c r="AC1442" s="1636">
        <v>27165</v>
      </c>
    </row>
    <row r="1443" spans="1:29" ht="17.100000000000001" customHeight="1">
      <c r="A1443" s="1666"/>
      <c r="B1443" s="1678"/>
      <c r="C1443" s="2145" t="s">
        <v>829</v>
      </c>
      <c r="D1443" s="2146" t="s">
        <v>759</v>
      </c>
      <c r="E1443" s="1904">
        <v>61768</v>
      </c>
      <c r="F1443" s="1904">
        <f t="shared" si="297"/>
        <v>4933</v>
      </c>
      <c r="G1443" s="1905">
        <f t="shared" si="296"/>
        <v>7.9863359668436731E-2</v>
      </c>
      <c r="H1443" s="1635">
        <f t="shared" si="298"/>
        <v>4933</v>
      </c>
      <c r="AC1443" s="1636">
        <v>4933</v>
      </c>
    </row>
    <row r="1444" spans="1:29" ht="17.100000000000001" hidden="1" customHeight="1">
      <c r="A1444" s="1666"/>
      <c r="B1444" s="1678"/>
      <c r="C1444" s="2145" t="s">
        <v>961</v>
      </c>
      <c r="D1444" s="2146" t="s">
        <v>763</v>
      </c>
      <c r="E1444" s="1904">
        <v>100</v>
      </c>
      <c r="F1444" s="1904">
        <f t="shared" si="297"/>
        <v>0</v>
      </c>
      <c r="G1444" s="1905">
        <f t="shared" si="296"/>
        <v>0</v>
      </c>
      <c r="H1444" s="1635">
        <f t="shared" si="298"/>
        <v>0</v>
      </c>
      <c r="AC1444" s="1636">
        <v>0</v>
      </c>
    </row>
    <row r="1445" spans="1:29" ht="17.100000000000001" customHeight="1">
      <c r="A1445" s="3039"/>
      <c r="B1445" s="3038"/>
      <c r="C1445" s="3079" t="s">
        <v>889</v>
      </c>
      <c r="D1445" s="3080" t="s">
        <v>763</v>
      </c>
      <c r="E1445" s="2756">
        <v>62478</v>
      </c>
      <c r="F1445" s="2756">
        <f t="shared" si="297"/>
        <v>4670</v>
      </c>
      <c r="G1445" s="1905">
        <f t="shared" si="296"/>
        <v>7.4746310701366878E-2</v>
      </c>
      <c r="H1445" s="1635">
        <f t="shared" si="298"/>
        <v>4670</v>
      </c>
      <c r="AC1445" s="1636">
        <v>4670</v>
      </c>
    </row>
    <row r="1446" spans="1:29" ht="17.100000000000001" customHeight="1" thickBot="1">
      <c r="A1446" s="1792"/>
      <c r="B1446" s="3183"/>
      <c r="C1446" s="3081" t="s">
        <v>833</v>
      </c>
      <c r="D1446" s="3082" t="s">
        <v>763</v>
      </c>
      <c r="E1446" s="1694">
        <v>11199</v>
      </c>
      <c r="F1446" s="1694">
        <f t="shared" si="297"/>
        <v>848</v>
      </c>
      <c r="G1446" s="1905">
        <f t="shared" si="296"/>
        <v>7.5721046522010893E-2</v>
      </c>
      <c r="H1446" s="1635">
        <f t="shared" si="298"/>
        <v>848</v>
      </c>
      <c r="AC1446" s="1636">
        <v>848</v>
      </c>
    </row>
    <row r="1447" spans="1:29" ht="30" hidden="1" customHeight="1">
      <c r="A1447" s="1666"/>
      <c r="B1447" s="1678"/>
      <c r="C1447" s="3076" t="s">
        <v>963</v>
      </c>
      <c r="D1447" s="3077" t="s">
        <v>765</v>
      </c>
      <c r="E1447" s="3078">
        <v>17</v>
      </c>
      <c r="F1447" s="3078">
        <f t="shared" si="297"/>
        <v>0</v>
      </c>
      <c r="G1447" s="1905">
        <f t="shared" si="296"/>
        <v>0</v>
      </c>
      <c r="H1447" s="1635">
        <f t="shared" si="298"/>
        <v>0</v>
      </c>
      <c r="AC1447" s="1636">
        <v>0</v>
      </c>
    </row>
    <row r="1448" spans="1:29" ht="27" customHeight="1">
      <c r="A1448" s="1666"/>
      <c r="B1448" s="1678"/>
      <c r="C1448" s="2145" t="s">
        <v>890</v>
      </c>
      <c r="D1448" s="2146" t="s">
        <v>1440</v>
      </c>
      <c r="E1448" s="1904">
        <v>8924</v>
      </c>
      <c r="F1448" s="1904">
        <f t="shared" si="297"/>
        <v>665</v>
      </c>
      <c r="G1448" s="1905">
        <f t="shared" si="296"/>
        <v>7.4518153294486772E-2</v>
      </c>
      <c r="H1448" s="1635">
        <f t="shared" si="298"/>
        <v>665</v>
      </c>
      <c r="AC1448" s="1636">
        <v>665</v>
      </c>
    </row>
    <row r="1449" spans="1:29" ht="28.5" customHeight="1">
      <c r="A1449" s="1666"/>
      <c r="B1449" s="1678"/>
      <c r="C1449" s="2145" t="s">
        <v>835</v>
      </c>
      <c r="D1449" s="2146" t="s">
        <v>1440</v>
      </c>
      <c r="E1449" s="1904">
        <v>1593</v>
      </c>
      <c r="F1449" s="1904">
        <f t="shared" si="297"/>
        <v>121</v>
      </c>
      <c r="G1449" s="1905">
        <f t="shared" si="296"/>
        <v>7.595731324544884E-2</v>
      </c>
      <c r="H1449" s="1635">
        <f t="shared" si="298"/>
        <v>121</v>
      </c>
      <c r="AC1449" s="1636">
        <v>121</v>
      </c>
    </row>
    <row r="1450" spans="1:29" ht="18.75" hidden="1" customHeight="1">
      <c r="A1450" s="1666"/>
      <c r="B1450" s="1678"/>
      <c r="C1450" s="2145" t="s">
        <v>1124</v>
      </c>
      <c r="D1450" s="2146" t="s">
        <v>767</v>
      </c>
      <c r="E1450" s="1904">
        <v>3105</v>
      </c>
      <c r="F1450" s="1904">
        <f t="shared" si="297"/>
        <v>0</v>
      </c>
      <c r="G1450" s="1905">
        <f t="shared" si="296"/>
        <v>0</v>
      </c>
      <c r="H1450" s="1635">
        <f t="shared" si="298"/>
        <v>0</v>
      </c>
      <c r="AC1450" s="1636">
        <v>0</v>
      </c>
    </row>
    <row r="1451" spans="1:29" ht="17.100000000000001" customHeight="1">
      <c r="A1451" s="1666"/>
      <c r="B1451" s="1678"/>
      <c r="C1451" s="2145" t="s">
        <v>1003</v>
      </c>
      <c r="D1451" s="2146" t="s">
        <v>767</v>
      </c>
      <c r="E1451" s="1904">
        <v>49887</v>
      </c>
      <c r="F1451" s="1904">
        <f t="shared" si="297"/>
        <v>4668</v>
      </c>
      <c r="G1451" s="1905">
        <f t="shared" si="296"/>
        <v>9.3571471525647959E-2</v>
      </c>
      <c r="H1451" s="1635">
        <f t="shared" si="298"/>
        <v>4668</v>
      </c>
      <c r="AC1451" s="1636">
        <v>4668</v>
      </c>
    </row>
    <row r="1452" spans="1:29" ht="17.100000000000001" customHeight="1">
      <c r="A1452" s="1666"/>
      <c r="B1452" s="1678"/>
      <c r="C1452" s="2145" t="s">
        <v>837</v>
      </c>
      <c r="D1452" s="2146" t="s">
        <v>767</v>
      </c>
      <c r="E1452" s="1904">
        <v>5865</v>
      </c>
      <c r="F1452" s="1904">
        <f t="shared" si="297"/>
        <v>848</v>
      </c>
      <c r="G1452" s="1905">
        <f t="shared" si="296"/>
        <v>0.14458653026427962</v>
      </c>
      <c r="H1452" s="1635">
        <f t="shared" si="298"/>
        <v>848</v>
      </c>
      <c r="AC1452" s="1636">
        <v>848</v>
      </c>
    </row>
    <row r="1453" spans="1:29" ht="17.100000000000001" hidden="1" customHeight="1">
      <c r="A1453" s="1666"/>
      <c r="B1453" s="1678"/>
      <c r="C1453" s="2145" t="s">
        <v>965</v>
      </c>
      <c r="D1453" s="2314" t="s">
        <v>774</v>
      </c>
      <c r="E1453" s="1904">
        <v>3257</v>
      </c>
      <c r="F1453" s="1904">
        <f t="shared" si="297"/>
        <v>0</v>
      </c>
      <c r="G1453" s="1905">
        <f t="shared" si="296"/>
        <v>0</v>
      </c>
      <c r="AC1453" s="1636">
        <v>0</v>
      </c>
    </row>
    <row r="1454" spans="1:29" ht="17.100000000000001" customHeight="1">
      <c r="A1454" s="1666"/>
      <c r="B1454" s="1678"/>
      <c r="C1454" s="2145" t="s">
        <v>891</v>
      </c>
      <c r="D1454" s="2146" t="s">
        <v>774</v>
      </c>
      <c r="E1454" s="1904">
        <v>89353</v>
      </c>
      <c r="F1454" s="1904">
        <f t="shared" si="297"/>
        <v>85</v>
      </c>
      <c r="G1454" s="1905">
        <f t="shared" si="296"/>
        <v>9.5128311304600857E-4</v>
      </c>
      <c r="H1454" s="1635">
        <f t="shared" si="298"/>
        <v>85</v>
      </c>
      <c r="AC1454" s="1636">
        <v>85</v>
      </c>
    </row>
    <row r="1455" spans="1:29" ht="17.100000000000001" customHeight="1">
      <c r="A1455" s="1666"/>
      <c r="B1455" s="1678"/>
      <c r="C1455" s="2145" t="s">
        <v>842</v>
      </c>
      <c r="D1455" s="2146" t="s">
        <v>774</v>
      </c>
      <c r="E1455" s="1904">
        <v>21593</v>
      </c>
      <c r="F1455" s="1904">
        <f t="shared" si="297"/>
        <v>15</v>
      </c>
      <c r="G1455" s="1905">
        <f t="shared" si="296"/>
        <v>6.9466956884175427E-4</v>
      </c>
      <c r="H1455" s="1635">
        <f t="shared" si="298"/>
        <v>15</v>
      </c>
      <c r="AC1455" s="1636">
        <v>15</v>
      </c>
    </row>
    <row r="1456" spans="1:29" ht="17.100000000000001" hidden="1" customHeight="1">
      <c r="A1456" s="1666"/>
      <c r="B1456" s="1678"/>
      <c r="C1456" s="2145" t="s">
        <v>1125</v>
      </c>
      <c r="D1456" s="2146" t="s">
        <v>776</v>
      </c>
      <c r="E1456" s="1904">
        <v>3675</v>
      </c>
      <c r="F1456" s="1904">
        <f t="shared" si="297"/>
        <v>0</v>
      </c>
      <c r="G1456" s="1905">
        <f t="shared" si="296"/>
        <v>0</v>
      </c>
      <c r="AC1456" s="1636">
        <v>0</v>
      </c>
    </row>
    <row r="1457" spans="1:29" ht="17.100000000000001" customHeight="1">
      <c r="A1457" s="1666"/>
      <c r="B1457" s="1678"/>
      <c r="C1457" s="2145" t="s">
        <v>1126</v>
      </c>
      <c r="D1457" s="2146" t="s">
        <v>776</v>
      </c>
      <c r="E1457" s="1904">
        <v>74616</v>
      </c>
      <c r="F1457" s="1904">
        <f t="shared" si="297"/>
        <v>11510</v>
      </c>
      <c r="G1457" s="1905">
        <f t="shared" si="296"/>
        <v>0.15425645974053823</v>
      </c>
      <c r="H1457" s="1635">
        <f t="shared" si="298"/>
        <v>11510</v>
      </c>
      <c r="AC1457" s="1636">
        <v>11510</v>
      </c>
    </row>
    <row r="1458" spans="1:29" ht="17.100000000000001" customHeight="1">
      <c r="A1458" s="1666"/>
      <c r="B1458" s="1678"/>
      <c r="C1458" s="2145" t="s">
        <v>1050</v>
      </c>
      <c r="D1458" s="2146" t="s">
        <v>776</v>
      </c>
      <c r="E1458" s="1904">
        <v>9795</v>
      </c>
      <c r="F1458" s="1904">
        <f t="shared" si="297"/>
        <v>2090</v>
      </c>
      <c r="G1458" s="1905">
        <f t="shared" si="296"/>
        <v>0.21337417049515059</v>
      </c>
      <c r="H1458" s="1635">
        <f t="shared" si="298"/>
        <v>2090</v>
      </c>
      <c r="AC1458" s="1636">
        <v>2090</v>
      </c>
    </row>
    <row r="1459" spans="1:29" ht="17.100000000000001" hidden="1" customHeight="1">
      <c r="A1459" s="1666"/>
      <c r="B1459" s="1678"/>
      <c r="C1459" s="2145" t="s">
        <v>1120</v>
      </c>
      <c r="D1459" s="2146" t="s">
        <v>984</v>
      </c>
      <c r="E1459" s="1904">
        <v>23360</v>
      </c>
      <c r="F1459" s="1904">
        <f t="shared" si="297"/>
        <v>0</v>
      </c>
      <c r="G1459" s="1905">
        <f t="shared" si="296"/>
        <v>0</v>
      </c>
      <c r="H1459" s="1635">
        <f t="shared" si="298"/>
        <v>0</v>
      </c>
      <c r="AC1459" s="1636">
        <v>0</v>
      </c>
    </row>
    <row r="1460" spans="1:29" ht="17.100000000000001" hidden="1" customHeight="1">
      <c r="A1460" s="1666"/>
      <c r="B1460" s="1678"/>
      <c r="C1460" s="2145" t="s">
        <v>1121</v>
      </c>
      <c r="D1460" s="2146" t="s">
        <v>984</v>
      </c>
      <c r="E1460" s="1904">
        <v>4603</v>
      </c>
      <c r="F1460" s="1904">
        <f t="shared" si="297"/>
        <v>0</v>
      </c>
      <c r="G1460" s="1905">
        <f t="shared" si="296"/>
        <v>0</v>
      </c>
      <c r="H1460" s="1635">
        <f t="shared" si="298"/>
        <v>0</v>
      </c>
      <c r="AC1460" s="1636">
        <v>0</v>
      </c>
    </row>
    <row r="1461" spans="1:29" ht="17.100000000000001" hidden="1" customHeight="1">
      <c r="A1461" s="1666"/>
      <c r="B1461" s="1678"/>
      <c r="C1461" s="2145" t="s">
        <v>1051</v>
      </c>
      <c r="D1461" s="2146" t="s">
        <v>778</v>
      </c>
      <c r="E1461" s="1904">
        <v>7831</v>
      </c>
      <c r="F1461" s="1904">
        <f t="shared" si="297"/>
        <v>0</v>
      </c>
      <c r="G1461" s="1905">
        <f t="shared" si="296"/>
        <v>0</v>
      </c>
      <c r="H1461" s="1635">
        <f t="shared" si="298"/>
        <v>0</v>
      </c>
      <c r="AC1461" s="1636">
        <v>0</v>
      </c>
    </row>
    <row r="1462" spans="1:29" ht="17.100000000000001" hidden="1" customHeight="1">
      <c r="A1462" s="1666"/>
      <c r="B1462" s="1678"/>
      <c r="C1462" s="2145" t="s">
        <v>1024</v>
      </c>
      <c r="D1462" s="2146" t="s">
        <v>778</v>
      </c>
      <c r="E1462" s="1904">
        <v>6989</v>
      </c>
      <c r="F1462" s="1904">
        <f t="shared" si="297"/>
        <v>0</v>
      </c>
      <c r="G1462" s="1905">
        <f t="shared" si="296"/>
        <v>0</v>
      </c>
      <c r="H1462" s="1635">
        <f t="shared" si="298"/>
        <v>0</v>
      </c>
      <c r="AC1462" s="1636">
        <v>0</v>
      </c>
    </row>
    <row r="1463" spans="1:29" ht="17.100000000000001" hidden="1" customHeight="1">
      <c r="A1463" s="1666"/>
      <c r="B1463" s="1678"/>
      <c r="C1463" s="2145" t="s">
        <v>967</v>
      </c>
      <c r="D1463" s="2146" t="s">
        <v>784</v>
      </c>
      <c r="E1463" s="1904">
        <v>1976</v>
      </c>
      <c r="F1463" s="1904">
        <f t="shared" si="297"/>
        <v>0</v>
      </c>
      <c r="G1463" s="1905">
        <f t="shared" si="296"/>
        <v>0</v>
      </c>
      <c r="H1463" s="1635">
        <f t="shared" si="298"/>
        <v>0</v>
      </c>
      <c r="AC1463" s="1636">
        <v>0</v>
      </c>
    </row>
    <row r="1464" spans="1:29" ht="17.100000000000001" customHeight="1">
      <c r="A1464" s="1666"/>
      <c r="B1464" s="1678"/>
      <c r="C1464" s="2145" t="s">
        <v>892</v>
      </c>
      <c r="D1464" s="2146" t="s">
        <v>784</v>
      </c>
      <c r="E1464" s="1904">
        <v>247103</v>
      </c>
      <c r="F1464" s="1904">
        <f t="shared" si="297"/>
        <v>86</v>
      </c>
      <c r="G1464" s="1905">
        <f t="shared" si="296"/>
        <v>3.4803300647907957E-4</v>
      </c>
      <c r="H1464" s="1635">
        <f t="shared" si="298"/>
        <v>86</v>
      </c>
      <c r="AC1464" s="1636">
        <v>86</v>
      </c>
    </row>
    <row r="1465" spans="1:29" ht="17.100000000000001" customHeight="1">
      <c r="A1465" s="1666"/>
      <c r="B1465" s="1678"/>
      <c r="C1465" s="2145" t="s">
        <v>846</v>
      </c>
      <c r="D1465" s="2146" t="s">
        <v>784</v>
      </c>
      <c r="E1465" s="1904">
        <v>27759</v>
      </c>
      <c r="F1465" s="1904">
        <f t="shared" si="297"/>
        <v>16</v>
      </c>
      <c r="G1465" s="1905">
        <f>F1465/E1465</f>
        <v>5.7638963939623188E-4</v>
      </c>
      <c r="H1465" s="1635">
        <f t="shared" si="298"/>
        <v>16</v>
      </c>
      <c r="AC1465" s="1636">
        <v>16</v>
      </c>
    </row>
    <row r="1466" spans="1:29" ht="27.75" hidden="1" customHeight="1">
      <c r="A1466" s="1666"/>
      <c r="B1466" s="1678"/>
      <c r="C1466" s="2145" t="s">
        <v>1113</v>
      </c>
      <c r="D1466" s="2146" t="s">
        <v>1114</v>
      </c>
      <c r="E1466" s="1904"/>
      <c r="F1466" s="1904">
        <f t="shared" si="297"/>
        <v>0</v>
      </c>
      <c r="G1466" s="1905" t="e">
        <f t="shared" ref="G1466:G1469" si="299">F1466/E1466</f>
        <v>#DIV/0!</v>
      </c>
      <c r="H1466" s="1635">
        <f t="shared" si="298"/>
        <v>0</v>
      </c>
    </row>
    <row r="1467" spans="1:29" ht="25.5" hidden="1">
      <c r="A1467" s="1666"/>
      <c r="B1467" s="1678"/>
      <c r="C1467" s="2145" t="s">
        <v>1127</v>
      </c>
      <c r="D1467" s="2146" t="s">
        <v>1128</v>
      </c>
      <c r="E1467" s="1904"/>
      <c r="F1467" s="1904">
        <f t="shared" si="297"/>
        <v>0</v>
      </c>
      <c r="G1467" s="1905" t="e">
        <f t="shared" si="299"/>
        <v>#DIV/0!</v>
      </c>
      <c r="H1467" s="1635">
        <f t="shared" si="298"/>
        <v>0</v>
      </c>
    </row>
    <row r="1468" spans="1:29" ht="30.75" hidden="1" customHeight="1">
      <c r="A1468" s="1666"/>
      <c r="B1468" s="1678"/>
      <c r="C1468" s="2145" t="s">
        <v>1129</v>
      </c>
      <c r="D1468" s="2146" t="s">
        <v>1128</v>
      </c>
      <c r="E1468" s="1904"/>
      <c r="F1468" s="1904">
        <f t="shared" si="297"/>
        <v>0</v>
      </c>
      <c r="G1468" s="1905" t="e">
        <f t="shared" si="299"/>
        <v>#DIV/0!</v>
      </c>
      <c r="H1468" s="1635">
        <f t="shared" si="298"/>
        <v>0</v>
      </c>
    </row>
    <row r="1469" spans="1:29" ht="16.5" hidden="1" customHeight="1">
      <c r="A1469" s="1666"/>
      <c r="B1469" s="1678"/>
      <c r="C1469" s="2145" t="s">
        <v>1130</v>
      </c>
      <c r="D1469" s="2146" t="s">
        <v>1131</v>
      </c>
      <c r="E1469" s="1904"/>
      <c r="F1469" s="1904">
        <f t="shared" si="297"/>
        <v>0</v>
      </c>
      <c r="G1469" s="1905" t="e">
        <f t="shared" si="299"/>
        <v>#DIV/0!</v>
      </c>
      <c r="H1469" s="1635">
        <f t="shared" si="298"/>
        <v>0</v>
      </c>
    </row>
    <row r="1470" spans="1:29" ht="17.100000000000001" hidden="1" customHeight="1">
      <c r="A1470" s="1666"/>
      <c r="B1470" s="1678"/>
      <c r="C1470" s="2145" t="s">
        <v>1052</v>
      </c>
      <c r="D1470" s="2146" t="s">
        <v>1131</v>
      </c>
      <c r="E1470" s="1904">
        <v>6949</v>
      </c>
      <c r="F1470" s="1904">
        <f t="shared" si="297"/>
        <v>0</v>
      </c>
      <c r="G1470" s="1905">
        <f t="shared" si="296"/>
        <v>0</v>
      </c>
      <c r="H1470" s="1635">
        <f t="shared" si="298"/>
        <v>0</v>
      </c>
    </row>
    <row r="1471" spans="1:29" ht="17.100000000000001" hidden="1" customHeight="1">
      <c r="A1471" s="1666"/>
      <c r="B1471" s="1678"/>
      <c r="C1471" s="2145" t="s">
        <v>1053</v>
      </c>
      <c r="D1471" s="2146" t="s">
        <v>1131</v>
      </c>
      <c r="E1471" s="1904">
        <v>4159</v>
      </c>
      <c r="F1471" s="1904">
        <f t="shared" si="297"/>
        <v>0</v>
      </c>
      <c r="G1471" s="1905">
        <f t="shared" si="296"/>
        <v>0</v>
      </c>
      <c r="H1471" s="1635">
        <f t="shared" si="298"/>
        <v>0</v>
      </c>
    </row>
    <row r="1472" spans="1:29" ht="17.100000000000001" hidden="1" customHeight="1">
      <c r="A1472" s="1666"/>
      <c r="B1472" s="1678"/>
      <c r="C1472" s="2213" t="s">
        <v>969</v>
      </c>
      <c r="D1472" s="2314" t="s">
        <v>951</v>
      </c>
      <c r="E1472" s="1904">
        <v>502</v>
      </c>
      <c r="F1472" s="1904">
        <f t="shared" si="297"/>
        <v>0</v>
      </c>
      <c r="G1472" s="1905">
        <f t="shared" si="296"/>
        <v>0</v>
      </c>
      <c r="H1472" s="1635">
        <f t="shared" si="298"/>
        <v>0</v>
      </c>
    </row>
    <row r="1473" spans="1:29" ht="17.100000000000001" hidden="1" customHeight="1">
      <c r="A1473" s="1666"/>
      <c r="B1473" s="1678"/>
      <c r="C1473" s="2213" t="s">
        <v>1004</v>
      </c>
      <c r="D1473" s="2146" t="s">
        <v>951</v>
      </c>
      <c r="E1473" s="1904">
        <v>2848</v>
      </c>
      <c r="F1473" s="1904">
        <f t="shared" si="297"/>
        <v>0</v>
      </c>
      <c r="G1473" s="1905">
        <f t="shared" si="296"/>
        <v>0</v>
      </c>
      <c r="H1473" s="1635">
        <f t="shared" si="298"/>
        <v>0</v>
      </c>
    </row>
    <row r="1474" spans="1:29" ht="17.100000000000001" hidden="1" customHeight="1">
      <c r="A1474" s="1666"/>
      <c r="B1474" s="1678"/>
      <c r="C1474" s="2213" t="s">
        <v>971</v>
      </c>
      <c r="D1474" s="2214" t="s">
        <v>792</v>
      </c>
      <c r="E1474" s="1904"/>
      <c r="F1474" s="1904">
        <f t="shared" si="297"/>
        <v>0</v>
      </c>
      <c r="G1474" s="1905" t="e">
        <f t="shared" si="296"/>
        <v>#DIV/0!</v>
      </c>
      <c r="H1474" s="1635">
        <f t="shared" si="298"/>
        <v>0</v>
      </c>
    </row>
    <row r="1475" spans="1:29" ht="17.100000000000001" customHeight="1">
      <c r="A1475" s="1666"/>
      <c r="B1475" s="1678"/>
      <c r="C1475" s="2213" t="s">
        <v>894</v>
      </c>
      <c r="D1475" s="2214" t="s">
        <v>792</v>
      </c>
      <c r="E1475" s="1904">
        <v>16181</v>
      </c>
      <c r="F1475" s="1904">
        <f t="shared" si="297"/>
        <v>1593</v>
      </c>
      <c r="G1475" s="1905">
        <f t="shared" si="296"/>
        <v>9.8448797972931212E-2</v>
      </c>
      <c r="H1475" s="1635">
        <f t="shared" si="298"/>
        <v>1593</v>
      </c>
      <c r="AC1475" s="1636">
        <v>1593</v>
      </c>
    </row>
    <row r="1476" spans="1:29" ht="17.100000000000001" customHeight="1">
      <c r="A1476" s="1666"/>
      <c r="B1476" s="1678"/>
      <c r="C1476" s="2145" t="s">
        <v>850</v>
      </c>
      <c r="D1476" s="2146" t="s">
        <v>792</v>
      </c>
      <c r="E1476" s="1904">
        <v>2981</v>
      </c>
      <c r="F1476" s="1904">
        <f t="shared" si="297"/>
        <v>290</v>
      </c>
      <c r="G1476" s="1905">
        <f t="shared" si="296"/>
        <v>9.7282791009728281E-2</v>
      </c>
      <c r="H1476" s="1635">
        <f t="shared" si="298"/>
        <v>290</v>
      </c>
      <c r="AC1476" s="1636">
        <v>290</v>
      </c>
    </row>
    <row r="1477" spans="1:29" ht="17.100000000000001" customHeight="1">
      <c r="A1477" s="1666"/>
      <c r="B1477" s="1678"/>
      <c r="C1477" s="2145" t="s">
        <v>896</v>
      </c>
      <c r="D1477" s="2315" t="s">
        <v>769</v>
      </c>
      <c r="E1477" s="1904">
        <v>5750</v>
      </c>
      <c r="F1477" s="1904">
        <f t="shared" si="297"/>
        <v>408</v>
      </c>
      <c r="G1477" s="1905">
        <f t="shared" si="296"/>
        <v>7.0956521739130432E-2</v>
      </c>
      <c r="H1477" s="1635">
        <f t="shared" si="298"/>
        <v>408</v>
      </c>
      <c r="AC1477" s="1636">
        <v>408</v>
      </c>
    </row>
    <row r="1478" spans="1:29" ht="17.100000000000001" customHeight="1">
      <c r="A1478" s="1666"/>
      <c r="B1478" s="1678"/>
      <c r="C1478" s="2145" t="s">
        <v>856</v>
      </c>
      <c r="D1478" s="2236" t="s">
        <v>769</v>
      </c>
      <c r="E1478" s="1904">
        <v>1050</v>
      </c>
      <c r="F1478" s="1904">
        <f t="shared" si="297"/>
        <v>74</v>
      </c>
      <c r="G1478" s="1905">
        <f t="shared" si="296"/>
        <v>7.047619047619047E-2</v>
      </c>
      <c r="H1478" s="1635">
        <f t="shared" si="298"/>
        <v>74</v>
      </c>
      <c r="AC1478" s="1636">
        <v>74</v>
      </c>
    </row>
    <row r="1479" spans="1:29" ht="17.100000000000001" customHeight="1">
      <c r="A1479" s="1666"/>
      <c r="B1479" s="1678"/>
      <c r="C1479" s="2316"/>
      <c r="D1479" s="2316"/>
      <c r="E1479" s="2317"/>
      <c r="F1479" s="2317"/>
      <c r="G1479" s="1905"/>
      <c r="H1479" s="1635">
        <f t="shared" si="298"/>
        <v>0</v>
      </c>
    </row>
    <row r="1480" spans="1:29" ht="17.100000000000001" customHeight="1">
      <c r="A1480" s="1666"/>
      <c r="B1480" s="1678"/>
      <c r="C1480" s="3658" t="s">
        <v>810</v>
      </c>
      <c r="D1480" s="3658"/>
      <c r="E1480" s="2318">
        <f t="shared" ref="E1480:F1480" si="300">E1481</f>
        <v>20000</v>
      </c>
      <c r="F1480" s="2318">
        <f t="shared" si="300"/>
        <v>39710</v>
      </c>
      <c r="G1480" s="1905">
        <f t="shared" si="296"/>
        <v>1.9855</v>
      </c>
      <c r="H1480" s="1635">
        <f t="shared" si="298"/>
        <v>0</v>
      </c>
    </row>
    <row r="1481" spans="1:29" ht="17.100000000000001" customHeight="1">
      <c r="A1481" s="1666"/>
      <c r="B1481" s="1678"/>
      <c r="C1481" s="3486" t="s">
        <v>811</v>
      </c>
      <c r="D1481" s="3557"/>
      <c r="E1481" s="1749">
        <f>SUM(E1482:E1485)</f>
        <v>20000</v>
      </c>
      <c r="F1481" s="1749">
        <f>SUM(F1482:F1485)</f>
        <v>39710</v>
      </c>
      <c r="G1481" s="1905">
        <f t="shared" si="296"/>
        <v>1.9855</v>
      </c>
      <c r="H1481" s="1635">
        <f t="shared" si="298"/>
        <v>0</v>
      </c>
    </row>
    <row r="1482" spans="1:29" ht="17.100000000000001" hidden="1" customHeight="1">
      <c r="A1482" s="1666"/>
      <c r="B1482" s="1678"/>
      <c r="C1482" s="2304" t="s">
        <v>821</v>
      </c>
      <c r="D1482" s="2202" t="s">
        <v>813</v>
      </c>
      <c r="E1482" s="1749">
        <v>0</v>
      </c>
      <c r="F1482" s="1749">
        <f>H1482</f>
        <v>0</v>
      </c>
      <c r="G1482" s="1905" t="e">
        <f t="shared" si="296"/>
        <v>#DIV/0!</v>
      </c>
      <c r="H1482" s="1635">
        <f t="shared" si="298"/>
        <v>0</v>
      </c>
    </row>
    <row r="1483" spans="1:29" ht="17.100000000000001" customHeight="1" thickBot="1">
      <c r="A1483" s="1666"/>
      <c r="B1483" s="1678"/>
      <c r="C1483" s="2319" t="s">
        <v>812</v>
      </c>
      <c r="D1483" s="2202" t="s">
        <v>861</v>
      </c>
      <c r="E1483" s="1749">
        <v>20000</v>
      </c>
      <c r="F1483" s="1749">
        <f t="shared" ref="F1483:F1485" si="301">H1483</f>
        <v>39710</v>
      </c>
      <c r="G1483" s="1905">
        <f t="shared" si="296"/>
        <v>1.9855</v>
      </c>
      <c r="H1483" s="1635">
        <f t="shared" si="298"/>
        <v>39710</v>
      </c>
      <c r="AC1483" s="1636">
        <v>39710</v>
      </c>
    </row>
    <row r="1484" spans="1:29" ht="17.100000000000001" hidden="1" customHeight="1">
      <c r="A1484" s="1666"/>
      <c r="B1484" s="1678"/>
      <c r="C1484" s="1809" t="s">
        <v>897</v>
      </c>
      <c r="D1484" s="2202" t="s">
        <v>861</v>
      </c>
      <c r="E1484" s="1904"/>
      <c r="F1484" s="1749">
        <f t="shared" si="301"/>
        <v>0</v>
      </c>
      <c r="G1484" s="1905" t="e">
        <f t="shared" si="296"/>
        <v>#DIV/0!</v>
      </c>
      <c r="H1484" s="1635">
        <f t="shared" si="298"/>
        <v>0</v>
      </c>
    </row>
    <row r="1485" spans="1:29" ht="17.100000000000001" hidden="1" customHeight="1">
      <c r="A1485" s="1666"/>
      <c r="B1485" s="1678"/>
      <c r="C1485" s="1809" t="s">
        <v>918</v>
      </c>
      <c r="D1485" s="2202" t="s">
        <v>861</v>
      </c>
      <c r="E1485" s="1904"/>
      <c r="F1485" s="1749">
        <f t="shared" si="301"/>
        <v>0</v>
      </c>
      <c r="G1485" s="1905" t="e">
        <f t="shared" si="296"/>
        <v>#DIV/0!</v>
      </c>
      <c r="H1485" s="1635">
        <f t="shared" si="298"/>
        <v>0</v>
      </c>
    </row>
    <row r="1486" spans="1:29" ht="17.100000000000001" hidden="1" customHeight="1">
      <c r="A1486" s="1666"/>
      <c r="B1486" s="1678"/>
      <c r="C1486" s="1706"/>
      <c r="D1486" s="1707"/>
      <c r="E1486" s="1688"/>
      <c r="F1486" s="1688"/>
      <c r="G1486" s="1905" t="e">
        <f t="shared" si="296"/>
        <v>#DIV/0!</v>
      </c>
      <c r="H1486" s="1635">
        <f t="shared" si="298"/>
        <v>0</v>
      </c>
    </row>
    <row r="1487" spans="1:29" ht="17.100000000000001" hidden="1" customHeight="1">
      <c r="A1487" s="1666"/>
      <c r="B1487" s="1678"/>
      <c r="C1487" s="3652" t="s">
        <v>823</v>
      </c>
      <c r="D1487" s="3689"/>
      <c r="E1487" s="1906">
        <f>SUM(E1488:E1489)</f>
        <v>0</v>
      </c>
      <c r="F1487" s="1906">
        <f t="shared" ref="F1487" si="302">SUM(F1488:F1489)</f>
        <v>0</v>
      </c>
      <c r="G1487" s="1905" t="e">
        <f t="shared" si="296"/>
        <v>#DIV/0!</v>
      </c>
      <c r="H1487" s="1635">
        <f t="shared" si="298"/>
        <v>0</v>
      </c>
    </row>
    <row r="1488" spans="1:29" ht="17.100000000000001" hidden="1" customHeight="1">
      <c r="A1488" s="1666"/>
      <c r="B1488" s="1678"/>
      <c r="C1488" s="1719" t="s">
        <v>897</v>
      </c>
      <c r="D1488" s="1720" t="s">
        <v>861</v>
      </c>
      <c r="E1488" s="1904"/>
      <c r="F1488" s="1904">
        <f>H1488</f>
        <v>0</v>
      </c>
      <c r="G1488" s="1905" t="e">
        <f t="shared" si="296"/>
        <v>#DIV/0!</v>
      </c>
      <c r="H1488" s="1635">
        <f t="shared" si="298"/>
        <v>0</v>
      </c>
    </row>
    <row r="1489" spans="1:29" ht="17.100000000000001" hidden="1" customHeight="1" thickBot="1">
      <c r="A1489" s="1666"/>
      <c r="B1489" s="1678"/>
      <c r="C1489" s="1960" t="s">
        <v>918</v>
      </c>
      <c r="D1489" s="1707" t="s">
        <v>861</v>
      </c>
      <c r="E1489" s="1688"/>
      <c r="F1489" s="1904">
        <f>H1489</f>
        <v>0</v>
      </c>
      <c r="G1489" s="1689" t="e">
        <f t="shared" si="296"/>
        <v>#DIV/0!</v>
      </c>
      <c r="H1489" s="1635">
        <f t="shared" si="298"/>
        <v>0</v>
      </c>
    </row>
    <row r="1490" spans="1:29" ht="17.100000000000001" customHeight="1" thickBot="1">
      <c r="A1490" s="1666"/>
      <c r="B1490" s="1734" t="s">
        <v>1132</v>
      </c>
      <c r="C1490" s="1735"/>
      <c r="D1490" s="1736" t="s">
        <v>583</v>
      </c>
      <c r="E1490" s="1737">
        <f>SUM(E1491+E1531)</f>
        <v>11634591</v>
      </c>
      <c r="F1490" s="1737">
        <f t="shared" ref="F1490" si="303">SUM(F1491+F1531)</f>
        <v>11760834</v>
      </c>
      <c r="G1490" s="1738">
        <f t="shared" si="296"/>
        <v>1.0108506607580792</v>
      </c>
      <c r="H1490" s="1635">
        <f t="shared" si="298"/>
        <v>0</v>
      </c>
    </row>
    <row r="1491" spans="1:29" ht="17.100000000000001" customHeight="1">
      <c r="A1491" s="1666"/>
      <c r="B1491" s="1678"/>
      <c r="C1491" s="3472" t="s">
        <v>755</v>
      </c>
      <c r="D1491" s="3472"/>
      <c r="E1491" s="1672">
        <f>E1492+E1522+E1525</f>
        <v>11634591</v>
      </c>
      <c r="F1491" s="1672">
        <f t="shared" ref="F1491" si="304">F1492+F1522+F1525</f>
        <v>11760834</v>
      </c>
      <c r="G1491" s="1673">
        <f t="shared" si="296"/>
        <v>1.0108506607580792</v>
      </c>
      <c r="H1491" s="1635">
        <f t="shared" si="298"/>
        <v>0</v>
      </c>
    </row>
    <row r="1492" spans="1:29" ht="17.100000000000001" customHeight="1">
      <c r="A1492" s="1666"/>
      <c r="B1492" s="1678"/>
      <c r="C1492" s="3651" t="s">
        <v>756</v>
      </c>
      <c r="D1492" s="3651"/>
      <c r="E1492" s="1904">
        <f>E1493+E1503</f>
        <v>11609375</v>
      </c>
      <c r="F1492" s="1904">
        <f t="shared" ref="F1492" si="305">F1493+F1503</f>
        <v>11744638</v>
      </c>
      <c r="G1492" s="1905">
        <f t="shared" si="296"/>
        <v>1.0116511870794078</v>
      </c>
      <c r="H1492" s="1635">
        <f t="shared" si="298"/>
        <v>0</v>
      </c>
    </row>
    <row r="1493" spans="1:29" ht="17.100000000000001" customHeight="1">
      <c r="A1493" s="1666"/>
      <c r="B1493" s="1678"/>
      <c r="C1493" s="3669" t="s">
        <v>757</v>
      </c>
      <c r="D1493" s="3669"/>
      <c r="E1493" s="1906">
        <f>SUM(E1494:E1501)</f>
        <v>9101797</v>
      </c>
      <c r="F1493" s="1906">
        <f>SUM(F1494:F1501)</f>
        <v>8757294</v>
      </c>
      <c r="G1493" s="1907">
        <f t="shared" si="296"/>
        <v>0.96215000180733545</v>
      </c>
      <c r="H1493" s="1635">
        <f t="shared" si="298"/>
        <v>0</v>
      </c>
    </row>
    <row r="1494" spans="1:29" ht="17.100000000000001" customHeight="1">
      <c r="A1494" s="1666"/>
      <c r="B1494" s="1678"/>
      <c r="C1494" s="2145" t="s">
        <v>758</v>
      </c>
      <c r="D1494" s="2146" t="s">
        <v>759</v>
      </c>
      <c r="E1494" s="1904">
        <v>7097520</v>
      </c>
      <c r="F1494" s="1904">
        <f>H1494</f>
        <v>1340105</v>
      </c>
      <c r="G1494" s="1905">
        <f t="shared" si="296"/>
        <v>0.18881313472875033</v>
      </c>
      <c r="H1494" s="1635">
        <f t="shared" si="298"/>
        <v>1340105</v>
      </c>
      <c r="AC1494" s="1636">
        <v>1340105</v>
      </c>
    </row>
    <row r="1495" spans="1:29" ht="17.100000000000001" customHeight="1">
      <c r="A1495" s="1666"/>
      <c r="B1495" s="1678"/>
      <c r="C1495" s="2145" t="s">
        <v>760</v>
      </c>
      <c r="D1495" s="2146" t="s">
        <v>761</v>
      </c>
      <c r="E1495" s="1904">
        <v>557880</v>
      </c>
      <c r="F1495" s="1904">
        <f t="shared" ref="F1495:F1501" si="306">H1495</f>
        <v>96286</v>
      </c>
      <c r="G1495" s="1905">
        <f t="shared" si="296"/>
        <v>0.17259267225926722</v>
      </c>
      <c r="H1495" s="1635">
        <f t="shared" si="298"/>
        <v>96286</v>
      </c>
      <c r="AC1495" s="1636">
        <v>96286</v>
      </c>
    </row>
    <row r="1496" spans="1:29" ht="17.100000000000001" customHeight="1">
      <c r="A1496" s="1666"/>
      <c r="B1496" s="1678"/>
      <c r="C1496" s="2213" t="s">
        <v>762</v>
      </c>
      <c r="D1496" s="2214" t="s">
        <v>763</v>
      </c>
      <c r="E1496" s="1904">
        <v>1246291</v>
      </c>
      <c r="F1496" s="1904">
        <f t="shared" si="306"/>
        <v>1259727</v>
      </c>
      <c r="G1496" s="1905">
        <f t="shared" si="296"/>
        <v>1.010780788756398</v>
      </c>
      <c r="H1496" s="1635">
        <f t="shared" si="298"/>
        <v>1259727</v>
      </c>
      <c r="AC1496" s="1636">
        <v>1259727</v>
      </c>
    </row>
    <row r="1497" spans="1:29" ht="27.75" customHeight="1">
      <c r="A1497" s="1666"/>
      <c r="B1497" s="1678"/>
      <c r="C1497" s="1809" t="s">
        <v>764</v>
      </c>
      <c r="D1497" s="2202" t="s">
        <v>1440</v>
      </c>
      <c r="E1497" s="1904">
        <v>151069</v>
      </c>
      <c r="F1497" s="1904">
        <f t="shared" si="306"/>
        <v>143923</v>
      </c>
      <c r="G1497" s="1905">
        <f t="shared" si="296"/>
        <v>0.95269711191574713</v>
      </c>
      <c r="H1497" s="1635">
        <f t="shared" si="298"/>
        <v>143923</v>
      </c>
      <c r="AC1497" s="1636">
        <v>143923</v>
      </c>
    </row>
    <row r="1498" spans="1:29" ht="17.100000000000001" customHeight="1">
      <c r="A1498" s="1666"/>
      <c r="B1498" s="1678"/>
      <c r="C1498" s="1809" t="s">
        <v>766</v>
      </c>
      <c r="D1498" s="2202" t="s">
        <v>767</v>
      </c>
      <c r="E1498" s="1904">
        <v>31400</v>
      </c>
      <c r="F1498" s="1904">
        <f t="shared" si="306"/>
        <v>17000</v>
      </c>
      <c r="G1498" s="1905">
        <f t="shared" si="296"/>
        <v>0.54140127388535031</v>
      </c>
      <c r="H1498" s="1635">
        <f t="shared" si="298"/>
        <v>17000</v>
      </c>
      <c r="AC1498" s="1636">
        <v>17000</v>
      </c>
    </row>
    <row r="1499" spans="1:29" ht="17.100000000000001" customHeight="1">
      <c r="A1499" s="1666"/>
      <c r="B1499" s="1678"/>
      <c r="C1499" s="1809" t="s">
        <v>768</v>
      </c>
      <c r="D1499" s="2305" t="s">
        <v>769</v>
      </c>
      <c r="E1499" s="1688">
        <v>17637</v>
      </c>
      <c r="F1499" s="1904">
        <f t="shared" si="306"/>
        <v>23367</v>
      </c>
      <c r="G1499" s="1905">
        <f t="shared" si="296"/>
        <v>1.3248851845551965</v>
      </c>
      <c r="H1499" s="1635">
        <f t="shared" si="298"/>
        <v>23367</v>
      </c>
      <c r="AC1499" s="1636">
        <v>23367</v>
      </c>
    </row>
    <row r="1500" spans="1:29" ht="17.100000000000001" customHeight="1">
      <c r="A1500" s="1666"/>
      <c r="B1500" s="1678"/>
      <c r="C1500" s="2145" t="s">
        <v>1101</v>
      </c>
      <c r="D1500" s="2146" t="s">
        <v>1102</v>
      </c>
      <c r="E1500" s="1904">
        <v>0</v>
      </c>
      <c r="F1500" s="1904">
        <f t="shared" si="306"/>
        <v>5426176</v>
      </c>
      <c r="G1500" s="1905"/>
      <c r="H1500" s="1635">
        <f t="shared" si="298"/>
        <v>5426176</v>
      </c>
      <c r="AC1500" s="1636">
        <v>5426176</v>
      </c>
    </row>
    <row r="1501" spans="1:29" ht="17.100000000000001" customHeight="1">
      <c r="A1501" s="1666"/>
      <c r="B1501" s="1678"/>
      <c r="C1501" s="2145" t="s">
        <v>1103</v>
      </c>
      <c r="D1501" s="2146" t="s">
        <v>1104</v>
      </c>
      <c r="E1501" s="1904">
        <v>0</v>
      </c>
      <c r="F1501" s="1904">
        <f t="shared" si="306"/>
        <v>450710</v>
      </c>
      <c r="G1501" s="1905"/>
      <c r="H1501" s="1635">
        <f t="shared" si="298"/>
        <v>450710</v>
      </c>
      <c r="AC1501" s="1636">
        <v>450710</v>
      </c>
    </row>
    <row r="1502" spans="1:29" ht="17.100000000000001" customHeight="1">
      <c r="A1502" s="1666"/>
      <c r="B1502" s="1678"/>
      <c r="C1502" s="2320"/>
      <c r="D1502" s="2320"/>
      <c r="E1502" s="2140"/>
      <c r="F1502" s="2140"/>
      <c r="G1502" s="2142"/>
      <c r="H1502" s="1635">
        <f t="shared" si="298"/>
        <v>0</v>
      </c>
    </row>
    <row r="1503" spans="1:29" ht="17.100000000000001" customHeight="1">
      <c r="A1503" s="1666"/>
      <c r="B1503" s="1678"/>
      <c r="C1503" s="3652" t="s">
        <v>770</v>
      </c>
      <c r="D1503" s="3652"/>
      <c r="E1503" s="2321">
        <f t="shared" ref="E1503:F1503" si="307">SUM(E1504:E1520)</f>
        <v>2507578</v>
      </c>
      <c r="F1503" s="2321">
        <f t="shared" si="307"/>
        <v>2987344</v>
      </c>
      <c r="G1503" s="2322">
        <f t="shared" si="296"/>
        <v>1.1913264512609378</v>
      </c>
      <c r="H1503" s="1635">
        <f t="shared" si="298"/>
        <v>0</v>
      </c>
    </row>
    <row r="1504" spans="1:29" ht="17.100000000000001" customHeight="1">
      <c r="A1504" s="1666"/>
      <c r="B1504" s="1678"/>
      <c r="C1504" s="1719" t="s">
        <v>771</v>
      </c>
      <c r="D1504" s="1720" t="s">
        <v>772</v>
      </c>
      <c r="E1504" s="1749">
        <v>45513</v>
      </c>
      <c r="F1504" s="1749">
        <f>H1504</f>
        <v>51780</v>
      </c>
      <c r="G1504" s="1750">
        <f t="shared" si="296"/>
        <v>1.1376969217586184</v>
      </c>
      <c r="H1504" s="1635">
        <f t="shared" si="298"/>
        <v>51780</v>
      </c>
      <c r="AC1504" s="1636">
        <v>51780</v>
      </c>
    </row>
    <row r="1505" spans="1:29" ht="17.100000000000001" customHeight="1">
      <c r="A1505" s="1666"/>
      <c r="B1505" s="1678"/>
      <c r="C1505" s="2145" t="s">
        <v>773</v>
      </c>
      <c r="D1505" s="2146" t="s">
        <v>774</v>
      </c>
      <c r="E1505" s="1749">
        <v>288858</v>
      </c>
      <c r="F1505" s="1749">
        <f t="shared" ref="F1505:F1520" si="308">H1505</f>
        <v>512980</v>
      </c>
      <c r="G1505" s="1750">
        <f t="shared" si="296"/>
        <v>1.7758898836106323</v>
      </c>
      <c r="H1505" s="1635">
        <f t="shared" si="298"/>
        <v>512980</v>
      </c>
      <c r="AC1505" s="1636">
        <v>512980</v>
      </c>
    </row>
    <row r="1506" spans="1:29" ht="17.100000000000001" customHeight="1">
      <c r="A1506" s="1666"/>
      <c r="B1506" s="1678"/>
      <c r="C1506" s="2145" t="s">
        <v>775</v>
      </c>
      <c r="D1506" s="2146" t="s">
        <v>776</v>
      </c>
      <c r="E1506" s="1749">
        <v>2500</v>
      </c>
      <c r="F1506" s="1749">
        <f t="shared" si="308"/>
        <v>1000</v>
      </c>
      <c r="G1506" s="1750">
        <f t="shared" si="296"/>
        <v>0.4</v>
      </c>
      <c r="H1506" s="1635">
        <f t="shared" si="298"/>
        <v>1000</v>
      </c>
      <c r="AC1506" s="1636">
        <v>1000</v>
      </c>
    </row>
    <row r="1507" spans="1:29" ht="17.100000000000001" customHeight="1">
      <c r="A1507" s="1666"/>
      <c r="B1507" s="1678"/>
      <c r="C1507" s="2145" t="s">
        <v>983</v>
      </c>
      <c r="D1507" s="2146" t="s">
        <v>984</v>
      </c>
      <c r="E1507" s="1749">
        <v>93000</v>
      </c>
      <c r="F1507" s="1749">
        <f t="shared" si="308"/>
        <v>171000</v>
      </c>
      <c r="G1507" s="1750">
        <f t="shared" si="296"/>
        <v>1.8387096774193548</v>
      </c>
      <c r="H1507" s="1635">
        <f t="shared" si="298"/>
        <v>171000</v>
      </c>
      <c r="AC1507" s="1636">
        <v>171000</v>
      </c>
    </row>
    <row r="1508" spans="1:29" ht="17.100000000000001" customHeight="1">
      <c r="A1508" s="1666"/>
      <c r="B1508" s="1678"/>
      <c r="C1508" s="2145" t="s">
        <v>777</v>
      </c>
      <c r="D1508" s="2146" t="s">
        <v>778</v>
      </c>
      <c r="E1508" s="1749">
        <v>561321</v>
      </c>
      <c r="F1508" s="1749">
        <f t="shared" si="308"/>
        <v>590837</v>
      </c>
      <c r="G1508" s="1750">
        <f t="shared" si="296"/>
        <v>1.0525831030729298</v>
      </c>
      <c r="H1508" s="1635">
        <f t="shared" si="298"/>
        <v>590837</v>
      </c>
      <c r="AC1508" s="1636">
        <v>590837</v>
      </c>
    </row>
    <row r="1509" spans="1:29" ht="17.100000000000001" customHeight="1">
      <c r="A1509" s="1666"/>
      <c r="B1509" s="1678"/>
      <c r="C1509" s="2145" t="s">
        <v>779</v>
      </c>
      <c r="D1509" s="2146" t="s">
        <v>780</v>
      </c>
      <c r="E1509" s="1749">
        <v>215558</v>
      </c>
      <c r="F1509" s="1749">
        <f t="shared" si="308"/>
        <v>273500</v>
      </c>
      <c r="G1509" s="1750">
        <f t="shared" si="296"/>
        <v>1.2688000445355774</v>
      </c>
      <c r="H1509" s="1635">
        <f t="shared" si="298"/>
        <v>273500</v>
      </c>
      <c r="AC1509" s="1636">
        <v>273500</v>
      </c>
    </row>
    <row r="1510" spans="1:29" ht="17.100000000000001" customHeight="1">
      <c r="A1510" s="1666"/>
      <c r="B1510" s="1678"/>
      <c r="C1510" s="2145" t="s">
        <v>781</v>
      </c>
      <c r="D1510" s="2146" t="s">
        <v>782</v>
      </c>
      <c r="E1510" s="1749">
        <v>10814</v>
      </c>
      <c r="F1510" s="1749">
        <f t="shared" si="308"/>
        <v>11210</v>
      </c>
      <c r="G1510" s="1750">
        <f t="shared" si="296"/>
        <v>1.0366191973367858</v>
      </c>
      <c r="H1510" s="1635">
        <f t="shared" si="298"/>
        <v>11210</v>
      </c>
      <c r="AC1510" s="1636">
        <v>11210</v>
      </c>
    </row>
    <row r="1511" spans="1:29" ht="18.75" customHeight="1">
      <c r="A1511" s="1666"/>
      <c r="B1511" s="1678"/>
      <c r="C1511" s="2246" t="s">
        <v>783</v>
      </c>
      <c r="D1511" s="2229" t="s">
        <v>784</v>
      </c>
      <c r="E1511" s="1749">
        <v>430020</v>
      </c>
      <c r="F1511" s="1749">
        <f t="shared" si="308"/>
        <v>498034</v>
      </c>
      <c r="G1511" s="1750">
        <f t="shared" si="296"/>
        <v>1.1581647365238825</v>
      </c>
      <c r="H1511" s="1635">
        <f t="shared" si="298"/>
        <v>498034</v>
      </c>
      <c r="AC1511" s="1636">
        <v>498034</v>
      </c>
    </row>
    <row r="1512" spans="1:29" ht="30.75" hidden="1" customHeight="1">
      <c r="A1512" s="1666"/>
      <c r="B1512" s="1678"/>
      <c r="C1512" s="1719" t="s">
        <v>1113</v>
      </c>
      <c r="D1512" s="1720" t="s">
        <v>1114</v>
      </c>
      <c r="E1512" s="1749"/>
      <c r="F1512" s="1749">
        <f t="shared" si="308"/>
        <v>0</v>
      </c>
      <c r="G1512" s="1750" t="e">
        <f t="shared" si="296"/>
        <v>#DIV/0!</v>
      </c>
      <c r="H1512" s="1635">
        <f t="shared" si="298"/>
        <v>0</v>
      </c>
    </row>
    <row r="1513" spans="1:29" ht="16.5" customHeight="1">
      <c r="A1513" s="1666"/>
      <c r="B1513" s="1678"/>
      <c r="C1513" s="2145" t="s">
        <v>785</v>
      </c>
      <c r="D1513" s="2146" t="s">
        <v>786</v>
      </c>
      <c r="E1513" s="1749">
        <v>86323</v>
      </c>
      <c r="F1513" s="1749">
        <f t="shared" si="308"/>
        <v>101381</v>
      </c>
      <c r="G1513" s="1750">
        <f t="shared" si="296"/>
        <v>1.1744378670806159</v>
      </c>
      <c r="H1513" s="1635">
        <f t="shared" si="298"/>
        <v>101381</v>
      </c>
      <c r="AC1513" s="1636">
        <v>101381</v>
      </c>
    </row>
    <row r="1514" spans="1:29" ht="35.25" customHeight="1">
      <c r="A1514" s="1666"/>
      <c r="B1514" s="1678"/>
      <c r="C1514" s="2145" t="s">
        <v>789</v>
      </c>
      <c r="D1514" s="2146" t="s">
        <v>790</v>
      </c>
      <c r="E1514" s="1749">
        <v>375766</v>
      </c>
      <c r="F1514" s="1749">
        <f t="shared" si="308"/>
        <v>370777</v>
      </c>
      <c r="G1514" s="1750">
        <f t="shared" ref="G1514:G1518" si="309">F1514/E1514</f>
        <v>0.98672312023972364</v>
      </c>
      <c r="H1514" s="1635">
        <f t="shared" ref="H1514:H1577" si="310">SUM(I1514:AE1514)</f>
        <v>370777</v>
      </c>
      <c r="AC1514" s="1636">
        <v>370777</v>
      </c>
    </row>
    <row r="1515" spans="1:29" ht="17.100000000000001" customHeight="1">
      <c r="A1515" s="1666"/>
      <c r="B1515" s="1678"/>
      <c r="C1515" s="2213" t="s">
        <v>791</v>
      </c>
      <c r="D1515" s="2214" t="s">
        <v>792</v>
      </c>
      <c r="E1515" s="1749">
        <v>13571</v>
      </c>
      <c r="F1515" s="1749">
        <f t="shared" si="308"/>
        <v>20218</v>
      </c>
      <c r="G1515" s="1750">
        <f t="shared" si="309"/>
        <v>1.4897944145604598</v>
      </c>
      <c r="H1515" s="1635">
        <f t="shared" si="310"/>
        <v>20218</v>
      </c>
      <c r="AC1515" s="1636">
        <v>20218</v>
      </c>
    </row>
    <row r="1516" spans="1:29" ht="17.100000000000001" customHeight="1">
      <c r="A1516" s="1666"/>
      <c r="B1516" s="1678"/>
      <c r="C1516" s="1809" t="s">
        <v>793</v>
      </c>
      <c r="D1516" s="2202" t="s">
        <v>794</v>
      </c>
      <c r="E1516" s="1749">
        <v>30874</v>
      </c>
      <c r="F1516" s="1749">
        <f t="shared" si="308"/>
        <v>33800</v>
      </c>
      <c r="G1516" s="1750">
        <f t="shared" si="309"/>
        <v>1.0947723003174192</v>
      </c>
      <c r="H1516" s="1635">
        <f t="shared" si="310"/>
        <v>33800</v>
      </c>
      <c r="AC1516" s="1636">
        <v>33800</v>
      </c>
    </row>
    <row r="1517" spans="1:29" ht="17.100000000000001" customHeight="1">
      <c r="A1517" s="1666"/>
      <c r="B1517" s="1678"/>
      <c r="C1517" s="1719" t="s">
        <v>795</v>
      </c>
      <c r="D1517" s="1720" t="s">
        <v>796</v>
      </c>
      <c r="E1517" s="1749">
        <v>338653</v>
      </c>
      <c r="F1517" s="1749">
        <f t="shared" si="308"/>
        <v>314977</v>
      </c>
      <c r="G1517" s="1750">
        <f t="shared" si="309"/>
        <v>0.93008772991823485</v>
      </c>
      <c r="H1517" s="1635">
        <f t="shared" si="310"/>
        <v>314977</v>
      </c>
      <c r="AC1517" s="1636">
        <v>314977</v>
      </c>
    </row>
    <row r="1518" spans="1:29" ht="17.100000000000001" customHeight="1">
      <c r="A1518" s="1666"/>
      <c r="B1518" s="1678"/>
      <c r="C1518" s="2145" t="s">
        <v>801</v>
      </c>
      <c r="D1518" s="2146" t="s">
        <v>802</v>
      </c>
      <c r="E1518" s="1749">
        <v>812</v>
      </c>
      <c r="F1518" s="1749">
        <f t="shared" si="308"/>
        <v>1800</v>
      </c>
      <c r="G1518" s="1750">
        <f t="shared" si="309"/>
        <v>2.2167487684729066</v>
      </c>
      <c r="H1518" s="1635">
        <f t="shared" si="310"/>
        <v>1800</v>
      </c>
      <c r="AC1518" s="1636">
        <v>1800</v>
      </c>
    </row>
    <row r="1519" spans="1:29" ht="17.100000000000001" customHeight="1">
      <c r="A1519" s="1666"/>
      <c r="B1519" s="1678"/>
      <c r="C1519" s="2145" t="s">
        <v>803</v>
      </c>
      <c r="D1519" s="2146" t="s">
        <v>804</v>
      </c>
      <c r="E1519" s="1749">
        <v>0</v>
      </c>
      <c r="F1519" s="1749">
        <f t="shared" si="308"/>
        <v>5000</v>
      </c>
      <c r="G1519" s="1750"/>
      <c r="H1519" s="1635">
        <f t="shared" si="310"/>
        <v>5000</v>
      </c>
      <c r="AC1519" s="1636">
        <v>5000</v>
      </c>
    </row>
    <row r="1520" spans="1:29" ht="18" customHeight="1">
      <c r="A1520" s="3039"/>
      <c r="B1520" s="3038"/>
      <c r="C1520" s="3079" t="s">
        <v>805</v>
      </c>
      <c r="D1520" s="3080" t="s">
        <v>806</v>
      </c>
      <c r="E1520" s="3078">
        <v>13995</v>
      </c>
      <c r="F1520" s="3078">
        <f t="shared" si="308"/>
        <v>29050</v>
      </c>
      <c r="G1520" s="1750">
        <f t="shared" ref="G1520:G1589" si="311">F1520/E1520</f>
        <v>2.0757413361914971</v>
      </c>
      <c r="H1520" s="1635">
        <f t="shared" si="310"/>
        <v>29050</v>
      </c>
      <c r="AC1520" s="1636">
        <v>29050</v>
      </c>
    </row>
    <row r="1521" spans="1:29" ht="17.100000000000001" customHeight="1" thickBot="1">
      <c r="A1521" s="1792"/>
      <c r="B1521" s="3183"/>
      <c r="C1521" s="3070"/>
      <c r="D1521" s="3070"/>
      <c r="E1521" s="2766"/>
      <c r="F1521" s="2766"/>
      <c r="G1521" s="1684"/>
      <c r="H1521" s="1635">
        <f t="shared" si="310"/>
        <v>0</v>
      </c>
    </row>
    <row r="1522" spans="1:29" ht="17.100000000000001" customHeight="1">
      <c r="A1522" s="1666"/>
      <c r="B1522" s="1678"/>
      <c r="C1522" s="3686" t="s">
        <v>1042</v>
      </c>
      <c r="D1522" s="3686"/>
      <c r="E1522" s="1688">
        <f t="shared" ref="E1522:F1522" si="312">E1523</f>
        <v>25216</v>
      </c>
      <c r="F1522" s="1688">
        <f t="shared" si="312"/>
        <v>16196</v>
      </c>
      <c r="G1522" s="2324">
        <f t="shared" si="311"/>
        <v>0.64229060913705582</v>
      </c>
      <c r="H1522" s="1635">
        <f t="shared" si="310"/>
        <v>0</v>
      </c>
    </row>
    <row r="1523" spans="1:29" ht="17.100000000000001" customHeight="1" thickBot="1">
      <c r="A1523" s="1666"/>
      <c r="B1523" s="1678"/>
      <c r="C1523" s="2190" t="s">
        <v>808</v>
      </c>
      <c r="D1523" s="2188" t="s">
        <v>809</v>
      </c>
      <c r="E1523" s="1904">
        <v>25216</v>
      </c>
      <c r="F1523" s="1904">
        <f>H1523</f>
        <v>16196</v>
      </c>
      <c r="G1523" s="1905">
        <f t="shared" si="311"/>
        <v>0.64229060913705582</v>
      </c>
      <c r="H1523" s="1635">
        <f t="shared" si="310"/>
        <v>16196</v>
      </c>
      <c r="AC1523" s="1636">
        <v>16196</v>
      </c>
    </row>
    <row r="1524" spans="1:29" ht="17.100000000000001" hidden="1" customHeight="1">
      <c r="A1524" s="1666"/>
      <c r="B1524" s="1678"/>
      <c r="C1524" s="2325"/>
      <c r="D1524" s="2326"/>
      <c r="E1524" s="2317"/>
      <c r="F1524" s="2317"/>
      <c r="G1524" s="1786"/>
      <c r="H1524" s="1635">
        <f t="shared" si="310"/>
        <v>0</v>
      </c>
    </row>
    <row r="1525" spans="1:29" ht="17.100000000000001" hidden="1" customHeight="1">
      <c r="A1525" s="1666"/>
      <c r="B1525" s="1678"/>
      <c r="C1525" s="3687" t="s">
        <v>825</v>
      </c>
      <c r="D1525" s="3687"/>
      <c r="E1525" s="2323">
        <f>SUM(E1526:E1529)</f>
        <v>0</v>
      </c>
      <c r="F1525" s="2323">
        <f t="shared" ref="F1525" si="313">SUM(F1526:F1529)</f>
        <v>0</v>
      </c>
      <c r="G1525" s="2324" t="e">
        <f t="shared" si="311"/>
        <v>#DIV/0!</v>
      </c>
      <c r="H1525" s="1635">
        <f t="shared" si="310"/>
        <v>0</v>
      </c>
    </row>
    <row r="1526" spans="1:29" ht="17.100000000000001" hidden="1" customHeight="1">
      <c r="A1526" s="1666"/>
      <c r="B1526" s="1678"/>
      <c r="C1526" s="2327" t="s">
        <v>758</v>
      </c>
      <c r="D1526" s="2328" t="s">
        <v>759</v>
      </c>
      <c r="E1526" s="2329"/>
      <c r="F1526" s="2330">
        <f>H1526</f>
        <v>0</v>
      </c>
      <c r="G1526" s="2331" t="e">
        <f t="shared" si="311"/>
        <v>#DIV/0!</v>
      </c>
      <c r="H1526" s="1635">
        <f t="shared" si="310"/>
        <v>0</v>
      </c>
    </row>
    <row r="1527" spans="1:29" ht="17.100000000000001" hidden="1" customHeight="1">
      <c r="A1527" s="1666"/>
      <c r="B1527" s="1678"/>
      <c r="C1527" s="2327" t="s">
        <v>783</v>
      </c>
      <c r="D1527" s="2328" t="s">
        <v>784</v>
      </c>
      <c r="E1527" s="2329"/>
      <c r="F1527" s="2330">
        <f t="shared" ref="F1527:F1529" si="314">H1527</f>
        <v>0</v>
      </c>
      <c r="G1527" s="2331" t="e">
        <f t="shared" si="311"/>
        <v>#DIV/0!</v>
      </c>
      <c r="H1527" s="1635">
        <f t="shared" si="310"/>
        <v>0</v>
      </c>
    </row>
    <row r="1528" spans="1:29" ht="17.100000000000001" hidden="1" customHeight="1">
      <c r="A1528" s="1666"/>
      <c r="B1528" s="1678"/>
      <c r="C1528" s="2327" t="s">
        <v>892</v>
      </c>
      <c r="D1528" s="2328" t="s">
        <v>784</v>
      </c>
      <c r="E1528" s="2329"/>
      <c r="F1528" s="2330">
        <f t="shared" si="314"/>
        <v>0</v>
      </c>
      <c r="G1528" s="2332" t="e">
        <f t="shared" si="311"/>
        <v>#DIV/0!</v>
      </c>
      <c r="H1528" s="1635">
        <f t="shared" si="310"/>
        <v>0</v>
      </c>
    </row>
    <row r="1529" spans="1:29" ht="17.100000000000001" hidden="1" customHeight="1">
      <c r="A1529" s="1666"/>
      <c r="B1529" s="1678"/>
      <c r="C1529" s="2333" t="s">
        <v>846</v>
      </c>
      <c r="D1529" s="2334" t="s">
        <v>784</v>
      </c>
      <c r="E1529" s="2335"/>
      <c r="F1529" s="2330">
        <f t="shared" si="314"/>
        <v>0</v>
      </c>
      <c r="G1529" s="2336" t="e">
        <f t="shared" si="311"/>
        <v>#DIV/0!</v>
      </c>
      <c r="H1529" s="1635">
        <f t="shared" si="310"/>
        <v>0</v>
      </c>
    </row>
    <row r="1530" spans="1:29" ht="17.100000000000001" hidden="1" customHeight="1">
      <c r="A1530" s="1666"/>
      <c r="B1530" s="1678"/>
      <c r="C1530" s="2337"/>
      <c r="D1530" s="2338"/>
      <c r="E1530" s="2339"/>
      <c r="F1530" s="2339"/>
      <c r="G1530" s="2340"/>
      <c r="H1530" s="1635">
        <f t="shared" si="310"/>
        <v>0</v>
      </c>
    </row>
    <row r="1531" spans="1:29" ht="17.100000000000001" hidden="1" customHeight="1">
      <c r="A1531" s="1666"/>
      <c r="B1531" s="1678"/>
      <c r="C1531" s="3694" t="s">
        <v>810</v>
      </c>
      <c r="D1531" s="3694"/>
      <c r="E1531" s="2341">
        <f>E1532</f>
        <v>0</v>
      </c>
      <c r="F1531" s="2341">
        <f t="shared" ref="F1531" si="315">F1532</f>
        <v>0</v>
      </c>
      <c r="G1531" s="2342" t="e">
        <f t="shared" si="311"/>
        <v>#DIV/0!</v>
      </c>
      <c r="H1531" s="1635">
        <f t="shared" si="310"/>
        <v>0</v>
      </c>
    </row>
    <row r="1532" spans="1:29" ht="17.100000000000001" hidden="1" customHeight="1">
      <c r="A1532" s="1666"/>
      <c r="B1532" s="1678"/>
      <c r="C1532" s="3486" t="s">
        <v>811</v>
      </c>
      <c r="D1532" s="3557"/>
      <c r="E1532" s="1749">
        <f>SUM(E1533:E1537)</f>
        <v>0</v>
      </c>
      <c r="F1532" s="1749">
        <f>SUM(F1533:F1537)</f>
        <v>0</v>
      </c>
      <c r="G1532" s="1750" t="e">
        <f t="shared" si="311"/>
        <v>#DIV/0!</v>
      </c>
      <c r="H1532" s="1635">
        <f t="shared" si="310"/>
        <v>0</v>
      </c>
    </row>
    <row r="1533" spans="1:29" ht="17.100000000000001" hidden="1" customHeight="1">
      <c r="A1533" s="1666"/>
      <c r="B1533" s="1678"/>
      <c r="C1533" s="2343" t="s">
        <v>920</v>
      </c>
      <c r="D1533" s="2344" t="s">
        <v>813</v>
      </c>
      <c r="E1533" s="1749"/>
      <c r="F1533" s="1749">
        <f>H1533</f>
        <v>0</v>
      </c>
      <c r="G1533" s="1750" t="e">
        <f t="shared" si="311"/>
        <v>#DIV/0!</v>
      </c>
      <c r="H1533" s="1635">
        <f t="shared" si="310"/>
        <v>0</v>
      </c>
    </row>
    <row r="1534" spans="1:29" ht="17.100000000000001" hidden="1" customHeight="1">
      <c r="A1534" s="1666"/>
      <c r="B1534" s="1678"/>
      <c r="C1534" s="2345" t="s">
        <v>921</v>
      </c>
      <c r="D1534" s="2346" t="s">
        <v>813</v>
      </c>
      <c r="E1534" s="1749"/>
      <c r="F1534" s="1749">
        <f t="shared" ref="F1534:F1537" si="316">H1534</f>
        <v>0</v>
      </c>
      <c r="G1534" s="1750" t="e">
        <f t="shared" si="311"/>
        <v>#DIV/0!</v>
      </c>
      <c r="H1534" s="1635">
        <f t="shared" si="310"/>
        <v>0</v>
      </c>
    </row>
    <row r="1535" spans="1:29" ht="17.100000000000001" hidden="1" customHeight="1">
      <c r="A1535" s="1666"/>
      <c r="B1535" s="1678"/>
      <c r="C1535" s="1706" t="s">
        <v>812</v>
      </c>
      <c r="D1535" s="1707" t="s">
        <v>861</v>
      </c>
      <c r="E1535" s="1749"/>
      <c r="F1535" s="1749">
        <f t="shared" si="316"/>
        <v>0</v>
      </c>
      <c r="G1535" s="1689" t="e">
        <f t="shared" si="311"/>
        <v>#DIV/0!</v>
      </c>
      <c r="H1535" s="1635">
        <f t="shared" si="310"/>
        <v>0</v>
      </c>
    </row>
    <row r="1536" spans="1:29" ht="17.100000000000001" hidden="1" customHeight="1">
      <c r="A1536" s="1666"/>
      <c r="B1536" s="1678"/>
      <c r="C1536" s="2347" t="s">
        <v>897</v>
      </c>
      <c r="D1536" s="2348" t="s">
        <v>861</v>
      </c>
      <c r="E1536" s="1749"/>
      <c r="F1536" s="1749">
        <f t="shared" si="316"/>
        <v>0</v>
      </c>
      <c r="G1536" s="1905" t="e">
        <f t="shared" si="311"/>
        <v>#DIV/0!</v>
      </c>
      <c r="H1536" s="1635">
        <f t="shared" si="310"/>
        <v>0</v>
      </c>
    </row>
    <row r="1537" spans="1:8" ht="17.100000000000001" hidden="1" customHeight="1">
      <c r="A1537" s="1666"/>
      <c r="B1537" s="1678"/>
      <c r="C1537" s="2347" t="s">
        <v>918</v>
      </c>
      <c r="D1537" s="2348" t="s">
        <v>861</v>
      </c>
      <c r="E1537" s="1749"/>
      <c r="F1537" s="1749">
        <f t="shared" si="316"/>
        <v>0</v>
      </c>
      <c r="G1537" s="1905" t="e">
        <f t="shared" si="311"/>
        <v>#DIV/0!</v>
      </c>
      <c r="H1537" s="1635">
        <f t="shared" si="310"/>
        <v>0</v>
      </c>
    </row>
    <row r="1538" spans="1:8" ht="17.100000000000001" hidden="1" customHeight="1">
      <c r="A1538" s="1666"/>
      <c r="B1538" s="1678"/>
      <c r="C1538" s="1706"/>
      <c r="D1538" s="1707"/>
      <c r="E1538" s="1688"/>
      <c r="F1538" s="1688"/>
      <c r="G1538" s="1905"/>
      <c r="H1538" s="1635">
        <f t="shared" si="310"/>
        <v>0</v>
      </c>
    </row>
    <row r="1539" spans="1:8" ht="17.100000000000001" hidden="1" customHeight="1">
      <c r="A1539" s="1666"/>
      <c r="B1539" s="1678"/>
      <c r="C1539" s="3690" t="s">
        <v>823</v>
      </c>
      <c r="D1539" s="3695"/>
      <c r="E1539" s="1906">
        <f>SUM(E1540:E1543)</f>
        <v>0</v>
      </c>
      <c r="F1539" s="1906">
        <f>SUM(F1541:F1543)</f>
        <v>0</v>
      </c>
      <c r="G1539" s="1750" t="e">
        <f t="shared" si="311"/>
        <v>#DIV/0!</v>
      </c>
      <c r="H1539" s="1635">
        <f t="shared" si="310"/>
        <v>0</v>
      </c>
    </row>
    <row r="1540" spans="1:8" ht="17.100000000000001" hidden="1" customHeight="1">
      <c r="A1540" s="1666"/>
      <c r="B1540" s="1678"/>
      <c r="C1540" s="2349" t="s">
        <v>920</v>
      </c>
      <c r="D1540" s="2350" t="s">
        <v>813</v>
      </c>
      <c r="E1540" s="1904"/>
      <c r="F1540" s="1904">
        <f>H1540</f>
        <v>0</v>
      </c>
      <c r="G1540" s="1905" t="e">
        <f t="shared" si="311"/>
        <v>#DIV/0!</v>
      </c>
      <c r="H1540" s="1635">
        <f t="shared" si="310"/>
        <v>0</v>
      </c>
    </row>
    <row r="1541" spans="1:8" ht="17.100000000000001" hidden="1" customHeight="1">
      <c r="A1541" s="1666"/>
      <c r="B1541" s="1678"/>
      <c r="C1541" s="2351" t="s">
        <v>921</v>
      </c>
      <c r="D1541" s="2346" t="s">
        <v>813</v>
      </c>
      <c r="E1541" s="1904"/>
      <c r="F1541" s="1904">
        <f t="shared" ref="F1541:F1543" si="317">H1541</f>
        <v>0</v>
      </c>
      <c r="G1541" s="1689" t="e">
        <f t="shared" si="311"/>
        <v>#DIV/0!</v>
      </c>
      <c r="H1541" s="1635">
        <f t="shared" si="310"/>
        <v>0</v>
      </c>
    </row>
    <row r="1542" spans="1:8" ht="17.100000000000001" hidden="1" customHeight="1">
      <c r="A1542" s="1666"/>
      <c r="B1542" s="1678"/>
      <c r="C1542" s="1719" t="s">
        <v>897</v>
      </c>
      <c r="D1542" s="1720" t="s">
        <v>861</v>
      </c>
      <c r="E1542" s="1904"/>
      <c r="F1542" s="1904">
        <f t="shared" si="317"/>
        <v>0</v>
      </c>
      <c r="G1542" s="1905" t="e">
        <f t="shared" si="311"/>
        <v>#DIV/0!</v>
      </c>
      <c r="H1542" s="1635">
        <f t="shared" si="310"/>
        <v>0</v>
      </c>
    </row>
    <row r="1543" spans="1:8" ht="17.100000000000001" hidden="1" customHeight="1" thickBot="1">
      <c r="A1543" s="1666"/>
      <c r="B1543" s="1678"/>
      <c r="C1543" s="1960" t="s">
        <v>918</v>
      </c>
      <c r="D1543" s="1707" t="s">
        <v>861</v>
      </c>
      <c r="E1543" s="1904"/>
      <c r="F1543" s="1904">
        <f t="shared" si="317"/>
        <v>0</v>
      </c>
      <c r="G1543" s="1689" t="e">
        <f t="shared" si="311"/>
        <v>#DIV/0!</v>
      </c>
      <c r="H1543" s="1635">
        <f t="shared" si="310"/>
        <v>0</v>
      </c>
    </row>
    <row r="1544" spans="1:8" ht="17.100000000000001" hidden="1" customHeight="1" thickBot="1">
      <c r="A1544" s="1666"/>
      <c r="B1544" s="1734" t="s">
        <v>1133</v>
      </c>
      <c r="C1544" s="1735"/>
      <c r="D1544" s="1736" t="s">
        <v>1134</v>
      </c>
      <c r="E1544" s="1737">
        <f>E1545</f>
        <v>0</v>
      </c>
      <c r="F1544" s="1737">
        <f t="shared" ref="F1544:F1545" si="318">F1545</f>
        <v>0</v>
      </c>
      <c r="G1544" s="1738" t="e">
        <f t="shared" si="311"/>
        <v>#DIV/0!</v>
      </c>
      <c r="H1544" s="1635">
        <f t="shared" si="310"/>
        <v>0</v>
      </c>
    </row>
    <row r="1545" spans="1:8" ht="17.100000000000001" hidden="1" customHeight="1">
      <c r="A1545" s="1666"/>
      <c r="B1545" s="1678"/>
      <c r="C1545" s="3472" t="s">
        <v>755</v>
      </c>
      <c r="D1545" s="3472"/>
      <c r="E1545" s="1672">
        <f>E1546</f>
        <v>0</v>
      </c>
      <c r="F1545" s="1672">
        <f t="shared" si="318"/>
        <v>0</v>
      </c>
      <c r="G1545" s="1673" t="e">
        <f t="shared" si="311"/>
        <v>#DIV/0!</v>
      </c>
      <c r="H1545" s="1635">
        <f t="shared" si="310"/>
        <v>0</v>
      </c>
    </row>
    <row r="1546" spans="1:8" ht="17.100000000000001" hidden="1" customHeight="1">
      <c r="A1546" s="1666"/>
      <c r="B1546" s="1678"/>
      <c r="C1546" s="3691" t="s">
        <v>756</v>
      </c>
      <c r="D1546" s="3691"/>
      <c r="E1546" s="1904">
        <f>E1547+E1553</f>
        <v>0</v>
      </c>
      <c r="F1546" s="1904">
        <f t="shared" ref="F1546" si="319">F1547+F1553</f>
        <v>0</v>
      </c>
      <c r="G1546" s="1905" t="e">
        <f t="shared" si="311"/>
        <v>#DIV/0!</v>
      </c>
      <c r="H1546" s="1635">
        <f t="shared" si="310"/>
        <v>0</v>
      </c>
    </row>
    <row r="1547" spans="1:8" ht="17.100000000000001" hidden="1" customHeight="1">
      <c r="A1547" s="1666"/>
      <c r="B1547" s="1678"/>
      <c r="C1547" s="3692" t="s">
        <v>757</v>
      </c>
      <c r="D1547" s="3692"/>
      <c r="E1547" s="1906">
        <f>SUM(E1548:E1552)</f>
        <v>0</v>
      </c>
      <c r="F1547" s="1906">
        <f t="shared" ref="F1547" si="320">SUM(F1548:F1552)</f>
        <v>0</v>
      </c>
      <c r="G1547" s="1907" t="e">
        <f t="shared" si="311"/>
        <v>#DIV/0!</v>
      </c>
      <c r="H1547" s="1635">
        <f t="shared" si="310"/>
        <v>0</v>
      </c>
    </row>
    <row r="1548" spans="1:8" ht="17.100000000000001" hidden="1" customHeight="1">
      <c r="A1548" s="1666"/>
      <c r="B1548" s="1678"/>
      <c r="C1548" s="2352" t="s">
        <v>758</v>
      </c>
      <c r="D1548" s="2353" t="s">
        <v>759</v>
      </c>
      <c r="E1548" s="1904"/>
      <c r="F1548" s="1904">
        <f>H1548</f>
        <v>0</v>
      </c>
      <c r="G1548" s="1905" t="e">
        <f t="shared" si="311"/>
        <v>#DIV/0!</v>
      </c>
      <c r="H1548" s="1635">
        <f t="shared" si="310"/>
        <v>0</v>
      </c>
    </row>
    <row r="1549" spans="1:8" ht="17.100000000000001" hidden="1" customHeight="1">
      <c r="A1549" s="1666"/>
      <c r="B1549" s="1678"/>
      <c r="C1549" s="2354" t="s">
        <v>760</v>
      </c>
      <c r="D1549" s="2355" t="s">
        <v>761</v>
      </c>
      <c r="E1549" s="1904"/>
      <c r="F1549" s="1904">
        <f t="shared" ref="F1549:F1551" si="321">H1549</f>
        <v>0</v>
      </c>
      <c r="G1549" s="1905" t="e">
        <f t="shared" si="311"/>
        <v>#DIV/0!</v>
      </c>
      <c r="H1549" s="1635">
        <f t="shared" si="310"/>
        <v>0</v>
      </c>
    </row>
    <row r="1550" spans="1:8" ht="17.100000000000001" hidden="1" customHeight="1">
      <c r="A1550" s="1666"/>
      <c r="B1550" s="1678"/>
      <c r="C1550" s="2354" t="s">
        <v>762</v>
      </c>
      <c r="D1550" s="2355" t="s">
        <v>763</v>
      </c>
      <c r="E1550" s="1904"/>
      <c r="F1550" s="1904">
        <f t="shared" si="321"/>
        <v>0</v>
      </c>
      <c r="G1550" s="1905" t="e">
        <f t="shared" si="311"/>
        <v>#DIV/0!</v>
      </c>
      <c r="H1550" s="1635">
        <f t="shared" si="310"/>
        <v>0</v>
      </c>
    </row>
    <row r="1551" spans="1:8" ht="30.75" hidden="1" customHeight="1">
      <c r="A1551" s="1666"/>
      <c r="B1551" s="1678"/>
      <c r="C1551" s="2356" t="s">
        <v>764</v>
      </c>
      <c r="D1551" s="2348" t="s">
        <v>765</v>
      </c>
      <c r="E1551" s="1904"/>
      <c r="F1551" s="1904">
        <f t="shared" si="321"/>
        <v>0</v>
      </c>
      <c r="G1551" s="1905" t="e">
        <f t="shared" si="311"/>
        <v>#DIV/0!</v>
      </c>
      <c r="H1551" s="1635">
        <f t="shared" si="310"/>
        <v>0</v>
      </c>
    </row>
    <row r="1552" spans="1:8" ht="17.100000000000001" hidden="1" customHeight="1">
      <c r="A1552" s="1666"/>
      <c r="B1552" s="1678"/>
      <c r="C1552" s="1960"/>
      <c r="D1552" s="1707"/>
      <c r="E1552" s="1688"/>
      <c r="F1552" s="1688"/>
      <c r="G1552" s="1689"/>
      <c r="H1552" s="1635">
        <f t="shared" si="310"/>
        <v>0</v>
      </c>
    </row>
    <row r="1553" spans="1:29" ht="17.100000000000001" hidden="1" customHeight="1">
      <c r="A1553" s="1666"/>
      <c r="B1553" s="1678"/>
      <c r="C1553" s="3690" t="s">
        <v>770</v>
      </c>
      <c r="D1553" s="3690"/>
      <c r="E1553" s="2357">
        <f>SUM(E1554:E1559)</f>
        <v>0</v>
      </c>
      <c r="F1553" s="2357">
        <f t="shared" ref="F1553" si="322">SUM(F1554:F1559)</f>
        <v>0</v>
      </c>
      <c r="G1553" s="2358" t="e">
        <f t="shared" si="311"/>
        <v>#DIV/0!</v>
      </c>
      <c r="H1553" s="1635">
        <f t="shared" si="310"/>
        <v>0</v>
      </c>
    </row>
    <row r="1554" spans="1:29" ht="17.100000000000001" hidden="1" customHeight="1">
      <c r="A1554" s="1666"/>
      <c r="B1554" s="1678"/>
      <c r="C1554" s="1719" t="s">
        <v>773</v>
      </c>
      <c r="D1554" s="1720" t="s">
        <v>774</v>
      </c>
      <c r="E1554" s="1749"/>
      <c r="F1554" s="1749">
        <f>H1554</f>
        <v>0</v>
      </c>
      <c r="G1554" s="1750" t="e">
        <f t="shared" si="311"/>
        <v>#DIV/0!</v>
      </c>
      <c r="H1554" s="1635">
        <f t="shared" si="310"/>
        <v>0</v>
      </c>
    </row>
    <row r="1555" spans="1:29" ht="17.100000000000001" hidden="1" customHeight="1">
      <c r="A1555" s="1666"/>
      <c r="B1555" s="1678"/>
      <c r="C1555" s="2352" t="s">
        <v>983</v>
      </c>
      <c r="D1555" s="2353" t="s">
        <v>984</v>
      </c>
      <c r="E1555" s="1749"/>
      <c r="F1555" s="1749">
        <f t="shared" ref="F1555:F1559" si="323">H1555</f>
        <v>0</v>
      </c>
      <c r="G1555" s="1750" t="e">
        <f t="shared" si="311"/>
        <v>#DIV/0!</v>
      </c>
      <c r="H1555" s="1635">
        <f t="shared" si="310"/>
        <v>0</v>
      </c>
    </row>
    <row r="1556" spans="1:29" ht="17.100000000000001" hidden="1" customHeight="1">
      <c r="A1556" s="1666"/>
      <c r="B1556" s="1678"/>
      <c r="C1556" s="2352" t="s">
        <v>777</v>
      </c>
      <c r="D1556" s="2353" t="s">
        <v>778</v>
      </c>
      <c r="E1556" s="1749"/>
      <c r="F1556" s="1749">
        <f t="shared" si="323"/>
        <v>0</v>
      </c>
      <c r="G1556" s="1750" t="e">
        <f t="shared" si="311"/>
        <v>#DIV/0!</v>
      </c>
      <c r="H1556" s="1635">
        <f t="shared" si="310"/>
        <v>0</v>
      </c>
    </row>
    <row r="1557" spans="1:29" ht="17.100000000000001" hidden="1" customHeight="1">
      <c r="A1557" s="1666"/>
      <c r="B1557" s="1678"/>
      <c r="C1557" s="2352" t="s">
        <v>783</v>
      </c>
      <c r="D1557" s="2353" t="s">
        <v>784</v>
      </c>
      <c r="E1557" s="1749"/>
      <c r="F1557" s="1749">
        <f t="shared" si="323"/>
        <v>0</v>
      </c>
      <c r="G1557" s="1750" t="e">
        <f t="shared" si="311"/>
        <v>#DIV/0!</v>
      </c>
      <c r="H1557" s="1635">
        <f t="shared" si="310"/>
        <v>0</v>
      </c>
    </row>
    <row r="1558" spans="1:29" ht="17.100000000000001" hidden="1" customHeight="1">
      <c r="A1558" s="1666"/>
      <c r="B1558" s="1678"/>
      <c r="C1558" s="2352" t="s">
        <v>795</v>
      </c>
      <c r="D1558" s="2353" t="s">
        <v>796</v>
      </c>
      <c r="E1558" s="1749"/>
      <c r="F1558" s="1749">
        <f t="shared" si="323"/>
        <v>0</v>
      </c>
      <c r="G1558" s="1750" t="e">
        <f t="shared" si="311"/>
        <v>#DIV/0!</v>
      </c>
      <c r="H1558" s="1635">
        <f t="shared" si="310"/>
        <v>0</v>
      </c>
    </row>
    <row r="1559" spans="1:29" ht="17.100000000000001" hidden="1" customHeight="1" thickBot="1">
      <c r="A1559" s="1666"/>
      <c r="B1559" s="1678"/>
      <c r="C1559" s="2352" t="s">
        <v>801</v>
      </c>
      <c r="D1559" s="2353" t="s">
        <v>802</v>
      </c>
      <c r="E1559" s="1749"/>
      <c r="F1559" s="1749">
        <f t="shared" si="323"/>
        <v>0</v>
      </c>
      <c r="G1559" s="1750" t="e">
        <f t="shared" si="311"/>
        <v>#DIV/0!</v>
      </c>
      <c r="H1559" s="1635">
        <f t="shared" si="310"/>
        <v>0</v>
      </c>
    </row>
    <row r="1560" spans="1:29" ht="17.100000000000001" customHeight="1" thickBot="1">
      <c r="A1560" s="1666"/>
      <c r="B1560" s="1734" t="s">
        <v>1135</v>
      </c>
      <c r="C1560" s="1735"/>
      <c r="D1560" s="1736" t="s">
        <v>11</v>
      </c>
      <c r="E1560" s="1737">
        <f>E1561+E1591</f>
        <v>4241076</v>
      </c>
      <c r="F1560" s="1737">
        <f>F1561+F1591</f>
        <v>2674868</v>
      </c>
      <c r="G1560" s="1738">
        <f t="shared" si="311"/>
        <v>0.63070503806109579</v>
      </c>
      <c r="H1560" s="1635">
        <f t="shared" si="310"/>
        <v>0</v>
      </c>
    </row>
    <row r="1561" spans="1:29" ht="17.100000000000001" customHeight="1">
      <c r="A1561" s="1666"/>
      <c r="B1561" s="1678"/>
      <c r="C1561" s="3472" t="s">
        <v>755</v>
      </c>
      <c r="D1561" s="3472"/>
      <c r="E1561" s="1672">
        <f>E1562+E1574+E1582+E1587</f>
        <v>4124938</v>
      </c>
      <c r="F1561" s="1672">
        <f t="shared" ref="F1561" si="324">F1562+F1574+F1582+F1587</f>
        <v>2645918</v>
      </c>
      <c r="G1561" s="1673">
        <f t="shared" si="311"/>
        <v>0.64144430776898953</v>
      </c>
      <c r="H1561" s="1635">
        <f t="shared" si="310"/>
        <v>0</v>
      </c>
    </row>
    <row r="1562" spans="1:29" ht="17.100000000000001" customHeight="1">
      <c r="A1562" s="1666"/>
      <c r="B1562" s="1678"/>
      <c r="C1562" s="3691" t="s">
        <v>756</v>
      </c>
      <c r="D1562" s="3691"/>
      <c r="E1562" s="1904">
        <f t="shared" ref="E1562:F1562" si="325">E1563+E1569</f>
        <v>670658</v>
      </c>
      <c r="F1562" s="1904">
        <f t="shared" si="325"/>
        <v>713320</v>
      </c>
      <c r="G1562" s="1905">
        <f t="shared" si="311"/>
        <v>1.0636121540337997</v>
      </c>
      <c r="H1562" s="1635">
        <f t="shared" si="310"/>
        <v>0</v>
      </c>
    </row>
    <row r="1563" spans="1:29" ht="17.100000000000001" customHeight="1">
      <c r="A1563" s="1666"/>
      <c r="B1563" s="1678"/>
      <c r="C1563" s="3692" t="s">
        <v>757</v>
      </c>
      <c r="D1563" s="3692"/>
      <c r="E1563" s="1906">
        <f>SUM(E1564:E1567)</f>
        <v>3296</v>
      </c>
      <c r="F1563" s="1906">
        <f t="shared" ref="F1563" si="326">SUM(F1564:F1567)</f>
        <v>3300</v>
      </c>
      <c r="G1563" s="1907">
        <f t="shared" si="311"/>
        <v>1.0012135922330097</v>
      </c>
      <c r="H1563" s="1635">
        <f t="shared" si="310"/>
        <v>0</v>
      </c>
    </row>
    <row r="1564" spans="1:29" ht="17.100000000000001" hidden="1" customHeight="1">
      <c r="A1564" s="1666"/>
      <c r="B1564" s="1678"/>
      <c r="C1564" s="2352" t="s">
        <v>758</v>
      </c>
      <c r="D1564" s="2353" t="s">
        <v>759</v>
      </c>
      <c r="E1564" s="1904">
        <v>0</v>
      </c>
      <c r="F1564" s="1904">
        <f>H1564</f>
        <v>0</v>
      </c>
      <c r="G1564" s="1905" t="e">
        <f t="shared" si="311"/>
        <v>#DIV/0!</v>
      </c>
      <c r="H1564" s="1635">
        <f t="shared" si="310"/>
        <v>0</v>
      </c>
    </row>
    <row r="1565" spans="1:29" ht="17.100000000000001" hidden="1" customHeight="1">
      <c r="A1565" s="1666"/>
      <c r="B1565" s="1678"/>
      <c r="C1565" s="2352" t="s">
        <v>762</v>
      </c>
      <c r="D1565" s="2353" t="s">
        <v>763</v>
      </c>
      <c r="E1565" s="1904">
        <v>0</v>
      </c>
      <c r="F1565" s="1904">
        <f t="shared" ref="F1565:F1566" si="327">H1565</f>
        <v>0</v>
      </c>
      <c r="G1565" s="1905" t="e">
        <f t="shared" si="311"/>
        <v>#DIV/0!</v>
      </c>
      <c r="H1565" s="1635">
        <f t="shared" si="310"/>
        <v>0</v>
      </c>
    </row>
    <row r="1566" spans="1:29" ht="17.100000000000001" hidden="1" customHeight="1">
      <c r="A1566" s="1666"/>
      <c r="B1566" s="1678"/>
      <c r="C1566" s="2352" t="s">
        <v>764</v>
      </c>
      <c r="D1566" s="2353" t="s">
        <v>816</v>
      </c>
      <c r="E1566" s="1904">
        <v>0</v>
      </c>
      <c r="F1566" s="1904">
        <f t="shared" si="327"/>
        <v>0</v>
      </c>
      <c r="G1566" s="1905" t="e">
        <f t="shared" si="311"/>
        <v>#DIV/0!</v>
      </c>
      <c r="H1566" s="1635">
        <f t="shared" si="310"/>
        <v>0</v>
      </c>
    </row>
    <row r="1567" spans="1:29" ht="17.100000000000001" customHeight="1">
      <c r="A1567" s="1666"/>
      <c r="B1567" s="1678"/>
      <c r="C1567" s="2352" t="s">
        <v>766</v>
      </c>
      <c r="D1567" s="2353" t="s">
        <v>767</v>
      </c>
      <c r="E1567" s="1904">
        <v>3296</v>
      </c>
      <c r="F1567" s="1904">
        <f>H1567</f>
        <v>3300</v>
      </c>
      <c r="G1567" s="1905">
        <f t="shared" si="311"/>
        <v>1.0012135922330097</v>
      </c>
      <c r="H1567" s="1635">
        <f t="shared" si="310"/>
        <v>3300</v>
      </c>
      <c r="AC1567" s="1636">
        <v>3300</v>
      </c>
    </row>
    <row r="1568" spans="1:29" ht="17.100000000000001" customHeight="1">
      <c r="A1568" s="1666"/>
      <c r="B1568" s="1678"/>
      <c r="C1568" s="1699"/>
      <c r="D1568" s="1699"/>
      <c r="E1568" s="1683"/>
      <c r="F1568" s="1683"/>
      <c r="G1568" s="1684"/>
      <c r="H1568" s="1635">
        <f t="shared" si="310"/>
        <v>0</v>
      </c>
    </row>
    <row r="1569" spans="1:29" ht="17.100000000000001" customHeight="1">
      <c r="A1569" s="1666"/>
      <c r="B1569" s="1678"/>
      <c r="C1569" s="3690" t="s">
        <v>770</v>
      </c>
      <c r="D1569" s="3690"/>
      <c r="E1569" s="1906">
        <f t="shared" ref="E1569:F1569" si="328">SUM(E1570:E1572)</f>
        <v>667362</v>
      </c>
      <c r="F1569" s="1906">
        <f t="shared" si="328"/>
        <v>710020</v>
      </c>
      <c r="G1569" s="1907">
        <f t="shared" si="311"/>
        <v>1.0639203310946683</v>
      </c>
      <c r="H1569" s="1635">
        <f t="shared" si="310"/>
        <v>0</v>
      </c>
    </row>
    <row r="1570" spans="1:29" ht="17.100000000000001" customHeight="1">
      <c r="A1570" s="1666"/>
      <c r="B1570" s="1678"/>
      <c r="C1570" s="2352" t="s">
        <v>773</v>
      </c>
      <c r="D1570" s="2353" t="s">
        <v>774</v>
      </c>
      <c r="E1570" s="1904">
        <v>2000</v>
      </c>
      <c r="F1570" s="1904">
        <f>H1570</f>
        <v>2000</v>
      </c>
      <c r="G1570" s="1905">
        <f t="shared" si="311"/>
        <v>1</v>
      </c>
      <c r="H1570" s="1635">
        <f t="shared" si="310"/>
        <v>2000</v>
      </c>
      <c r="AC1570" s="1636">
        <v>2000</v>
      </c>
    </row>
    <row r="1571" spans="1:29" ht="17.100000000000001" customHeight="1">
      <c r="A1571" s="1666"/>
      <c r="B1571" s="1678"/>
      <c r="C1571" s="2352" t="s">
        <v>783</v>
      </c>
      <c r="D1571" s="2353" t="s">
        <v>784</v>
      </c>
      <c r="E1571" s="1904">
        <v>26000</v>
      </c>
      <c r="F1571" s="1904">
        <f t="shared" ref="F1571:F1572" si="329">H1571</f>
        <v>26000</v>
      </c>
      <c r="G1571" s="1905">
        <f t="shared" si="311"/>
        <v>1</v>
      </c>
      <c r="H1571" s="1635">
        <f t="shared" si="310"/>
        <v>26000</v>
      </c>
      <c r="AC1571" s="1636">
        <v>26000</v>
      </c>
    </row>
    <row r="1572" spans="1:29" ht="17.100000000000001" customHeight="1">
      <c r="A1572" s="1666"/>
      <c r="B1572" s="1678"/>
      <c r="C1572" s="2352" t="s">
        <v>795</v>
      </c>
      <c r="D1572" s="2353" t="s">
        <v>796</v>
      </c>
      <c r="E1572" s="1904">
        <v>639362</v>
      </c>
      <c r="F1572" s="1904">
        <f t="shared" si="329"/>
        <v>682020</v>
      </c>
      <c r="G1572" s="1905">
        <f t="shared" si="311"/>
        <v>1.0667196361372744</v>
      </c>
      <c r="H1572" s="1635">
        <f t="shared" si="310"/>
        <v>682020</v>
      </c>
      <c r="AC1572" s="1636">
        <v>682020</v>
      </c>
    </row>
    <row r="1573" spans="1:29" ht="17.100000000000001" customHeight="1">
      <c r="A1573" s="1666"/>
      <c r="B1573" s="1678"/>
      <c r="C1573" s="1699"/>
      <c r="D1573" s="1699"/>
      <c r="E1573" s="1683"/>
      <c r="F1573" s="1683"/>
      <c r="G1573" s="1684"/>
      <c r="H1573" s="1635">
        <f t="shared" si="310"/>
        <v>0</v>
      </c>
    </row>
    <row r="1574" spans="1:29" ht="17.100000000000001" customHeight="1">
      <c r="A1574" s="1666"/>
      <c r="B1574" s="1678"/>
      <c r="C1574" s="3693" t="s">
        <v>857</v>
      </c>
      <c r="D1574" s="3693"/>
      <c r="E1574" s="1904">
        <f>SUM(E1575:E1580)</f>
        <v>2927275</v>
      </c>
      <c r="F1574" s="1904">
        <f>SUM(F1575:F1580)</f>
        <v>1308949</v>
      </c>
      <c r="G1574" s="1905">
        <f t="shared" si="311"/>
        <v>0.44715614351231092</v>
      </c>
      <c r="H1574" s="1635">
        <f t="shared" si="310"/>
        <v>0</v>
      </c>
    </row>
    <row r="1575" spans="1:29" ht="62.25" customHeight="1">
      <c r="A1575" s="1666"/>
      <c r="B1575" s="1678"/>
      <c r="C1575" s="2359" t="s">
        <v>649</v>
      </c>
      <c r="D1575" s="2360" t="s">
        <v>884</v>
      </c>
      <c r="E1575" s="2361">
        <v>2116047</v>
      </c>
      <c r="F1575" s="2361">
        <f>H1575</f>
        <v>813868</v>
      </c>
      <c r="G1575" s="2362">
        <f t="shared" si="311"/>
        <v>0.38461716587580519</v>
      </c>
      <c r="H1575" s="1635">
        <f t="shared" si="310"/>
        <v>813868</v>
      </c>
      <c r="W1575" s="1636">
        <v>813868</v>
      </c>
    </row>
    <row r="1576" spans="1:29" ht="51">
      <c r="A1576" s="1666"/>
      <c r="B1576" s="1678"/>
      <c r="C1576" s="2351" t="s">
        <v>486</v>
      </c>
      <c r="D1576" s="2363" t="s">
        <v>827</v>
      </c>
      <c r="E1576" s="2361">
        <v>704281</v>
      </c>
      <c r="F1576" s="2361">
        <f t="shared" ref="F1576:F1580" si="330">H1576</f>
        <v>495081</v>
      </c>
      <c r="G1576" s="1905">
        <f t="shared" si="311"/>
        <v>0.70295947214251131</v>
      </c>
      <c r="H1576" s="1635">
        <f t="shared" si="310"/>
        <v>495081</v>
      </c>
      <c r="W1576" s="1636">
        <v>495081</v>
      </c>
    </row>
    <row r="1577" spans="1:29" ht="54.75" hidden="1" customHeight="1">
      <c r="A1577" s="1666"/>
      <c r="B1577" s="1678"/>
      <c r="C1577" s="2351" t="s">
        <v>409</v>
      </c>
      <c r="D1577" s="2364" t="s">
        <v>876</v>
      </c>
      <c r="E1577" s="2361"/>
      <c r="F1577" s="2361">
        <f t="shared" si="330"/>
        <v>0</v>
      </c>
      <c r="G1577" s="1905" t="e">
        <f t="shared" si="311"/>
        <v>#DIV/0!</v>
      </c>
      <c r="H1577" s="1635">
        <f t="shared" si="310"/>
        <v>0</v>
      </c>
    </row>
    <row r="1578" spans="1:29" ht="33" hidden="1" customHeight="1">
      <c r="A1578" s="1666"/>
      <c r="B1578" s="1678"/>
      <c r="C1578" s="2351" t="s">
        <v>394</v>
      </c>
      <c r="D1578" s="2365" t="s">
        <v>978</v>
      </c>
      <c r="E1578" s="2361"/>
      <c r="F1578" s="2361">
        <f t="shared" si="330"/>
        <v>0</v>
      </c>
      <c r="G1578" s="1905" t="e">
        <f t="shared" si="311"/>
        <v>#DIV/0!</v>
      </c>
      <c r="H1578" s="1635">
        <f t="shared" ref="H1578:H1641" si="331">SUM(I1578:AE1578)</f>
        <v>0</v>
      </c>
    </row>
    <row r="1579" spans="1:29" ht="57" hidden="1" customHeight="1">
      <c r="A1579" s="1666"/>
      <c r="B1579" s="1678"/>
      <c r="C1579" s="2351" t="s">
        <v>591</v>
      </c>
      <c r="D1579" s="2366" t="s">
        <v>885</v>
      </c>
      <c r="E1579" s="2361">
        <v>5717</v>
      </c>
      <c r="F1579" s="2361">
        <f t="shared" si="330"/>
        <v>0</v>
      </c>
      <c r="G1579" s="1905">
        <f t="shared" si="311"/>
        <v>0</v>
      </c>
      <c r="H1579" s="1635">
        <f t="shared" si="331"/>
        <v>0</v>
      </c>
    </row>
    <row r="1580" spans="1:29" ht="18.75" hidden="1" customHeight="1">
      <c r="A1580" s="1666"/>
      <c r="B1580" s="1678"/>
      <c r="C1580" s="2367" t="s">
        <v>593</v>
      </c>
      <c r="D1580" s="2368" t="s">
        <v>886</v>
      </c>
      <c r="E1580" s="2361">
        <v>101230</v>
      </c>
      <c r="F1580" s="2361">
        <f t="shared" si="330"/>
        <v>0</v>
      </c>
      <c r="G1580" s="1750">
        <f t="shared" si="311"/>
        <v>0</v>
      </c>
      <c r="H1580" s="1635">
        <f t="shared" si="331"/>
        <v>0</v>
      </c>
    </row>
    <row r="1581" spans="1:29" ht="17.100000000000001" customHeight="1">
      <c r="A1581" s="1666"/>
      <c r="B1581" s="1678"/>
      <c r="C1581" s="2297"/>
      <c r="D1581" s="2369"/>
      <c r="E1581" s="2299"/>
      <c r="F1581" s="2299"/>
      <c r="G1581" s="2070"/>
      <c r="H1581" s="1635">
        <f t="shared" si="331"/>
        <v>0</v>
      </c>
    </row>
    <row r="1582" spans="1:29" ht="17.100000000000001" customHeight="1">
      <c r="A1582" s="1666"/>
      <c r="B1582" s="1678"/>
      <c r="C1582" s="3486" t="s">
        <v>1042</v>
      </c>
      <c r="D1582" s="3486"/>
      <c r="E1582" s="1749">
        <f t="shared" ref="E1582:F1582" si="332">SUM(E1583:E1585)</f>
        <v>527005</v>
      </c>
      <c r="F1582" s="1749">
        <f t="shared" si="332"/>
        <v>623649</v>
      </c>
      <c r="G1582" s="1750">
        <f t="shared" si="311"/>
        <v>1.1833834593599681</v>
      </c>
      <c r="H1582" s="1635">
        <f t="shared" si="331"/>
        <v>0</v>
      </c>
    </row>
    <row r="1583" spans="1:29" ht="17.100000000000001" customHeight="1">
      <c r="A1583" s="1666"/>
      <c r="B1583" s="1678"/>
      <c r="C1583" s="2352" t="s">
        <v>808</v>
      </c>
      <c r="D1583" s="2353" t="s">
        <v>809</v>
      </c>
      <c r="E1583" s="1904">
        <v>47005</v>
      </c>
      <c r="F1583" s="1904">
        <f>H1583</f>
        <v>46849</v>
      </c>
      <c r="G1583" s="1905">
        <f t="shared" si="311"/>
        <v>0.9966812041272205</v>
      </c>
      <c r="H1583" s="1635">
        <f t="shared" si="331"/>
        <v>46849</v>
      </c>
      <c r="AC1583" s="1636">
        <v>46849</v>
      </c>
    </row>
    <row r="1584" spans="1:29" ht="17.100000000000001" customHeight="1">
      <c r="A1584" s="1666"/>
      <c r="B1584" s="1678"/>
      <c r="C1584" s="2352" t="s">
        <v>1136</v>
      </c>
      <c r="D1584" s="2353" t="s">
        <v>1137</v>
      </c>
      <c r="E1584" s="1904">
        <v>150000</v>
      </c>
      <c r="F1584" s="1904">
        <f t="shared" ref="F1584:F1585" si="333">H1584</f>
        <v>150000</v>
      </c>
      <c r="G1584" s="1905">
        <f t="shared" si="311"/>
        <v>1</v>
      </c>
      <c r="H1584" s="1635">
        <f t="shared" si="331"/>
        <v>150000</v>
      </c>
      <c r="AC1584" s="1636">
        <v>150000</v>
      </c>
    </row>
    <row r="1585" spans="1:29" ht="17.100000000000001" customHeight="1">
      <c r="A1585" s="1666"/>
      <c r="B1585" s="1678"/>
      <c r="C1585" s="2352" t="s">
        <v>1116</v>
      </c>
      <c r="D1585" s="2353" t="s">
        <v>1117</v>
      </c>
      <c r="E1585" s="1904">
        <v>330000</v>
      </c>
      <c r="F1585" s="1904">
        <f t="shared" si="333"/>
        <v>426800</v>
      </c>
      <c r="G1585" s="1905">
        <f t="shared" si="311"/>
        <v>1.2933333333333332</v>
      </c>
      <c r="H1585" s="1635">
        <f t="shared" si="331"/>
        <v>426800</v>
      </c>
      <c r="AC1585" s="1636">
        <v>426800</v>
      </c>
    </row>
    <row r="1586" spans="1:29" ht="17.100000000000001" customHeight="1">
      <c r="A1586" s="1666"/>
      <c r="B1586" s="1678"/>
      <c r="C1586" s="1960"/>
      <c r="D1586" s="1961"/>
      <c r="E1586" s="1688"/>
      <c r="F1586" s="1688"/>
      <c r="G1586" s="1689"/>
      <c r="H1586" s="1635">
        <f t="shared" si="331"/>
        <v>0</v>
      </c>
    </row>
    <row r="1587" spans="1:29" ht="17.100000000000001" hidden="1" customHeight="1">
      <c r="A1587" s="1666"/>
      <c r="B1587" s="1678"/>
      <c r="C1587" s="3696" t="s">
        <v>825</v>
      </c>
      <c r="D1587" s="3697"/>
      <c r="E1587" s="1904">
        <f>E1588+E1589</f>
        <v>0</v>
      </c>
      <c r="F1587" s="1904">
        <f>F1588+F1589</f>
        <v>0</v>
      </c>
      <c r="G1587" s="1905" t="e">
        <f t="shared" si="311"/>
        <v>#DIV/0!</v>
      </c>
      <c r="H1587" s="1635">
        <f t="shared" si="331"/>
        <v>0</v>
      </c>
    </row>
    <row r="1588" spans="1:29" ht="66" hidden="1" customHeight="1">
      <c r="A1588" s="1666"/>
      <c r="B1588" s="1678"/>
      <c r="C1588" s="2351" t="s">
        <v>1138</v>
      </c>
      <c r="D1588" s="2291" t="s">
        <v>884</v>
      </c>
      <c r="E1588" s="1904">
        <v>0</v>
      </c>
      <c r="F1588" s="1904">
        <f>H1588</f>
        <v>0</v>
      </c>
      <c r="G1588" s="1905" t="e">
        <f t="shared" si="311"/>
        <v>#DIV/0!</v>
      </c>
      <c r="H1588" s="1635">
        <f t="shared" si="331"/>
        <v>0</v>
      </c>
    </row>
    <row r="1589" spans="1:29" ht="15" hidden="1" customHeight="1">
      <c r="A1589" s="1666"/>
      <c r="B1589" s="1678"/>
      <c r="C1589" s="2351" t="s">
        <v>1139</v>
      </c>
      <c r="D1589" s="2291" t="s">
        <v>1037</v>
      </c>
      <c r="E1589" s="1904">
        <v>0</v>
      </c>
      <c r="F1589" s="1904">
        <f>H1589</f>
        <v>0</v>
      </c>
      <c r="G1589" s="1905" t="e">
        <f t="shared" si="311"/>
        <v>#DIV/0!</v>
      </c>
      <c r="H1589" s="1635">
        <f t="shared" si="331"/>
        <v>0</v>
      </c>
    </row>
    <row r="1590" spans="1:29" ht="17.100000000000001" hidden="1" customHeight="1">
      <c r="A1590" s="1666"/>
      <c r="B1590" s="1678"/>
      <c r="C1590" s="1699"/>
      <c r="D1590" s="1699"/>
      <c r="E1590" s="1683"/>
      <c r="F1590" s="1683"/>
      <c r="G1590" s="1684"/>
      <c r="H1590" s="1635">
        <f t="shared" si="331"/>
        <v>0</v>
      </c>
    </row>
    <row r="1591" spans="1:29" ht="17.100000000000001" customHeight="1">
      <c r="A1591" s="1666"/>
      <c r="B1591" s="1678"/>
      <c r="C1591" s="3698" t="s">
        <v>810</v>
      </c>
      <c r="D1591" s="3698"/>
      <c r="E1591" s="2071">
        <f>E1592</f>
        <v>116138</v>
      </c>
      <c r="F1591" s="2071">
        <f t="shared" ref="F1591" si="334">F1592</f>
        <v>28950</v>
      </c>
      <c r="G1591" s="2054">
        <f t="shared" ref="G1591:G1672" si="335">F1591/E1591</f>
        <v>0.2492724172966643</v>
      </c>
      <c r="H1591" s="1635">
        <f t="shared" si="331"/>
        <v>0</v>
      </c>
    </row>
    <row r="1592" spans="1:29">
      <c r="A1592" s="1666"/>
      <c r="B1592" s="1678"/>
      <c r="C1592" s="3699" t="s">
        <v>811</v>
      </c>
      <c r="D1592" s="3699"/>
      <c r="E1592" s="1904">
        <f>SUM(E1593:E1596)</f>
        <v>116138</v>
      </c>
      <c r="F1592" s="1904">
        <f t="shared" ref="F1592" si="336">SUM(F1593:F1596)</f>
        <v>28950</v>
      </c>
      <c r="G1592" s="1905">
        <f t="shared" si="335"/>
        <v>0.2492724172966643</v>
      </c>
      <c r="H1592" s="1635">
        <f t="shared" si="331"/>
        <v>0</v>
      </c>
    </row>
    <row r="1593" spans="1:29" ht="45" hidden="1" customHeight="1">
      <c r="A1593" s="1666"/>
      <c r="B1593" s="1678"/>
      <c r="C1593" s="2370" t="s">
        <v>900</v>
      </c>
      <c r="D1593" s="1961" t="s">
        <v>905</v>
      </c>
      <c r="E1593" s="2371">
        <v>38678</v>
      </c>
      <c r="F1593" s="2371">
        <f>H1593</f>
        <v>0</v>
      </c>
      <c r="G1593" s="2372">
        <f t="shared" si="335"/>
        <v>0</v>
      </c>
      <c r="H1593" s="1635">
        <f t="shared" si="331"/>
        <v>0</v>
      </c>
    </row>
    <row r="1594" spans="1:29" ht="51.75" thickBot="1">
      <c r="A1594" s="1666"/>
      <c r="B1594" s="1678"/>
      <c r="C1594" s="2373" t="s">
        <v>901</v>
      </c>
      <c r="D1594" s="2374" t="s">
        <v>902</v>
      </c>
      <c r="E1594" s="2375">
        <v>29839</v>
      </c>
      <c r="F1594" s="2371">
        <f t="shared" ref="F1594:F1596" si="337">H1594</f>
        <v>28950</v>
      </c>
      <c r="G1594" s="2376">
        <f t="shared" si="335"/>
        <v>0.97020677636650021</v>
      </c>
      <c r="H1594" s="1635">
        <f t="shared" si="331"/>
        <v>28950</v>
      </c>
      <c r="W1594" s="1636">
        <v>28950</v>
      </c>
    </row>
    <row r="1595" spans="1:29" ht="39" hidden="1" thickBot="1">
      <c r="A1595" s="1666"/>
      <c r="B1595" s="1678"/>
      <c r="C1595" s="2377" t="s">
        <v>938</v>
      </c>
      <c r="D1595" s="2378" t="s">
        <v>939</v>
      </c>
      <c r="E1595" s="2379">
        <v>45743</v>
      </c>
      <c r="F1595" s="2371">
        <f t="shared" si="337"/>
        <v>0</v>
      </c>
      <c r="G1595" s="2376">
        <f t="shared" si="335"/>
        <v>0</v>
      </c>
      <c r="H1595" s="1635">
        <f t="shared" si="331"/>
        <v>0</v>
      </c>
    </row>
    <row r="1596" spans="1:29" ht="28.5" hidden="1" customHeight="1" thickBot="1">
      <c r="A1596" s="1666"/>
      <c r="B1596" s="1678"/>
      <c r="C1596" s="1706" t="s">
        <v>594</v>
      </c>
      <c r="D1596" s="2000" t="s">
        <v>1010</v>
      </c>
      <c r="E1596" s="1688">
        <v>1878</v>
      </c>
      <c r="F1596" s="2371">
        <f t="shared" si="337"/>
        <v>0</v>
      </c>
      <c r="G1596" s="1689">
        <f t="shared" si="335"/>
        <v>0</v>
      </c>
      <c r="H1596" s="1635">
        <f t="shared" si="331"/>
        <v>0</v>
      </c>
    </row>
    <row r="1597" spans="1:29" ht="17.100000000000001" hidden="1" customHeight="1" thickBot="1">
      <c r="A1597" s="1660" t="s">
        <v>1140</v>
      </c>
      <c r="B1597" s="1765"/>
      <c r="C1597" s="1766"/>
      <c r="D1597" s="1767" t="s">
        <v>1141</v>
      </c>
      <c r="E1597" s="1768">
        <f>SUM(E1598,E1610)</f>
        <v>0</v>
      </c>
      <c r="F1597" s="1768">
        <f t="shared" ref="F1597" si="338">SUM(F1598,F1610)</f>
        <v>0</v>
      </c>
      <c r="G1597" s="1769" t="e">
        <f t="shared" si="335"/>
        <v>#DIV/0!</v>
      </c>
      <c r="H1597" s="1635">
        <f t="shared" si="331"/>
        <v>0</v>
      </c>
    </row>
    <row r="1598" spans="1:29" ht="17.100000000000001" hidden="1" customHeight="1" thickBot="1">
      <c r="A1598" s="1666"/>
      <c r="B1598" s="1734" t="s">
        <v>1142</v>
      </c>
      <c r="C1598" s="1735"/>
      <c r="D1598" s="1736" t="s">
        <v>463</v>
      </c>
      <c r="E1598" s="1737">
        <f t="shared" ref="E1598:F1598" si="339">E1599</f>
        <v>0</v>
      </c>
      <c r="F1598" s="1737">
        <f t="shared" si="339"/>
        <v>0</v>
      </c>
      <c r="G1598" s="1738" t="e">
        <f t="shared" si="335"/>
        <v>#DIV/0!</v>
      </c>
      <c r="H1598" s="1635">
        <f t="shared" si="331"/>
        <v>0</v>
      </c>
    </row>
    <row r="1599" spans="1:29" ht="17.100000000000001" hidden="1" customHeight="1">
      <c r="A1599" s="1666"/>
      <c r="B1599" s="3700"/>
      <c r="C1599" s="3487" t="s">
        <v>755</v>
      </c>
      <c r="D1599" s="3487"/>
      <c r="E1599" s="1805">
        <f>E1600+E1605+E1608</f>
        <v>0</v>
      </c>
      <c r="F1599" s="1805">
        <f t="shared" ref="F1599" si="340">F1600+F1605+F1608</f>
        <v>0</v>
      </c>
      <c r="G1599" s="1816" t="e">
        <f t="shared" si="335"/>
        <v>#DIV/0!</v>
      </c>
      <c r="H1599" s="1635">
        <f t="shared" si="331"/>
        <v>0</v>
      </c>
    </row>
    <row r="1600" spans="1:29" ht="17.100000000000001" hidden="1" customHeight="1">
      <c r="A1600" s="1666"/>
      <c r="B1600" s="3467"/>
      <c r="C1600" s="3701" t="s">
        <v>756</v>
      </c>
      <c r="D1600" s="3701"/>
      <c r="E1600" s="1904">
        <f t="shared" ref="E1600:F1600" si="341">SUM(E1601)</f>
        <v>0</v>
      </c>
      <c r="F1600" s="1904">
        <f t="shared" si="341"/>
        <v>0</v>
      </c>
      <c r="G1600" s="1905" t="e">
        <f t="shared" si="335"/>
        <v>#DIV/0!</v>
      </c>
      <c r="H1600" s="1635">
        <f t="shared" si="331"/>
        <v>0</v>
      </c>
    </row>
    <row r="1601" spans="1:8" ht="17.100000000000001" hidden="1" customHeight="1">
      <c r="A1601" s="1666"/>
      <c r="B1601" s="3467"/>
      <c r="C1601" s="3702" t="s">
        <v>770</v>
      </c>
      <c r="D1601" s="3702"/>
      <c r="E1601" s="1906">
        <f>SUM(E1602:E1603)</f>
        <v>0</v>
      </c>
      <c r="F1601" s="1906">
        <f t="shared" ref="F1601" si="342">SUM(F1602:F1603)</f>
        <v>0</v>
      </c>
      <c r="G1601" s="1907" t="e">
        <f t="shared" si="335"/>
        <v>#DIV/0!</v>
      </c>
      <c r="H1601" s="1635">
        <f t="shared" si="331"/>
        <v>0</v>
      </c>
    </row>
    <row r="1602" spans="1:8" ht="17.100000000000001" hidden="1" customHeight="1">
      <c r="A1602" s="1666"/>
      <c r="B1602" s="3467"/>
      <c r="C1602" s="2380" t="s">
        <v>783</v>
      </c>
      <c r="D1602" s="2381" t="s">
        <v>784</v>
      </c>
      <c r="E1602" s="1904">
        <v>0</v>
      </c>
      <c r="F1602" s="1904">
        <f>H1602</f>
        <v>0</v>
      </c>
      <c r="G1602" s="1905" t="e">
        <f t="shared" si="335"/>
        <v>#DIV/0!</v>
      </c>
      <c r="H1602" s="1635">
        <f t="shared" si="331"/>
        <v>0</v>
      </c>
    </row>
    <row r="1603" spans="1:8" ht="17.100000000000001" hidden="1" customHeight="1">
      <c r="A1603" s="1666"/>
      <c r="B1603" s="3467"/>
      <c r="C1603" s="2380" t="s">
        <v>874</v>
      </c>
      <c r="D1603" s="2381" t="s">
        <v>875</v>
      </c>
      <c r="E1603" s="1904">
        <v>0</v>
      </c>
      <c r="F1603" s="1904">
        <f>H1603</f>
        <v>0</v>
      </c>
      <c r="G1603" s="1905" t="e">
        <f t="shared" si="335"/>
        <v>#DIV/0!</v>
      </c>
      <c r="H1603" s="1635">
        <f t="shared" si="331"/>
        <v>0</v>
      </c>
    </row>
    <row r="1604" spans="1:8" ht="17.100000000000001" hidden="1" customHeight="1">
      <c r="A1604" s="1666"/>
      <c r="B1604" s="3467"/>
      <c r="C1604" s="2380"/>
      <c r="D1604" s="2382"/>
      <c r="E1604" s="1904"/>
      <c r="F1604" s="1904"/>
      <c r="G1604" s="1905"/>
      <c r="H1604" s="1635">
        <f t="shared" si="331"/>
        <v>0</v>
      </c>
    </row>
    <row r="1605" spans="1:8" ht="17.100000000000001" hidden="1" customHeight="1">
      <c r="A1605" s="1666"/>
      <c r="B1605" s="3467"/>
      <c r="C1605" s="3703" t="s">
        <v>825</v>
      </c>
      <c r="D1605" s="3703"/>
      <c r="E1605" s="1904">
        <f>E1606</f>
        <v>0</v>
      </c>
      <c r="F1605" s="1904">
        <f t="shared" ref="F1605" si="343">F1606</f>
        <v>0</v>
      </c>
      <c r="G1605" s="1905" t="e">
        <f t="shared" si="335"/>
        <v>#DIV/0!</v>
      </c>
      <c r="H1605" s="1635">
        <f t="shared" si="331"/>
        <v>0</v>
      </c>
    </row>
    <row r="1606" spans="1:8" ht="17.100000000000001" hidden="1" customHeight="1">
      <c r="A1606" s="1666"/>
      <c r="B1606" s="3467"/>
      <c r="C1606" s="2383" t="s">
        <v>1143</v>
      </c>
      <c r="D1606" s="2381" t="s">
        <v>1144</v>
      </c>
      <c r="E1606" s="1904">
        <v>0</v>
      </c>
      <c r="F1606" s="1904">
        <f>H1606</f>
        <v>0</v>
      </c>
      <c r="G1606" s="1905" t="e">
        <f t="shared" si="335"/>
        <v>#DIV/0!</v>
      </c>
      <c r="H1606" s="1635">
        <f t="shared" si="331"/>
        <v>0</v>
      </c>
    </row>
    <row r="1607" spans="1:8" ht="17.100000000000001" hidden="1" customHeight="1">
      <c r="A1607" s="1666"/>
      <c r="B1607" s="3467"/>
      <c r="C1607" s="2380"/>
      <c r="D1607" s="2382"/>
      <c r="E1607" s="1904"/>
      <c r="F1607" s="1904"/>
      <c r="G1607" s="1905"/>
      <c r="H1607" s="1635">
        <f t="shared" si="331"/>
        <v>0</v>
      </c>
    </row>
    <row r="1608" spans="1:8" ht="17.100000000000001" hidden="1" customHeight="1">
      <c r="A1608" s="1666"/>
      <c r="B1608" s="3467"/>
      <c r="C1608" s="3699" t="s">
        <v>1042</v>
      </c>
      <c r="D1608" s="3699"/>
      <c r="E1608" s="1904">
        <f t="shared" ref="E1608:F1608" si="344">E1609</f>
        <v>0</v>
      </c>
      <c r="F1608" s="1904">
        <f t="shared" si="344"/>
        <v>0</v>
      </c>
      <c r="G1608" s="1905" t="e">
        <f t="shared" si="335"/>
        <v>#DIV/0!</v>
      </c>
      <c r="H1608" s="1635">
        <f t="shared" si="331"/>
        <v>0</v>
      </c>
    </row>
    <row r="1609" spans="1:8" ht="17.100000000000001" hidden="1" customHeight="1" thickBot="1">
      <c r="A1609" s="1666"/>
      <c r="B1609" s="3468"/>
      <c r="C1609" s="2384" t="s">
        <v>997</v>
      </c>
      <c r="D1609" s="2385" t="s">
        <v>998</v>
      </c>
      <c r="E1609" s="1694">
        <v>0</v>
      </c>
      <c r="F1609" s="1694">
        <f>H1609</f>
        <v>0</v>
      </c>
      <c r="G1609" s="1695" t="e">
        <f t="shared" si="335"/>
        <v>#DIV/0!</v>
      </c>
      <c r="H1609" s="1635">
        <f t="shared" si="331"/>
        <v>0</v>
      </c>
    </row>
    <row r="1610" spans="1:8" ht="17.100000000000001" hidden="1" customHeight="1" thickBot="1">
      <c r="A1610" s="1666"/>
      <c r="B1610" s="1734" t="s">
        <v>1145</v>
      </c>
      <c r="C1610" s="1735"/>
      <c r="D1610" s="1736" t="s">
        <v>11</v>
      </c>
      <c r="E1610" s="1737">
        <f>E1611+E1620</f>
        <v>0</v>
      </c>
      <c r="F1610" s="1737">
        <f>F1611+F1620</f>
        <v>0</v>
      </c>
      <c r="G1610" s="1738" t="e">
        <f t="shared" si="335"/>
        <v>#DIV/0!</v>
      </c>
      <c r="H1610" s="1635">
        <f t="shared" si="331"/>
        <v>0</v>
      </c>
    </row>
    <row r="1611" spans="1:8" ht="17.100000000000001" hidden="1" customHeight="1">
      <c r="A1611" s="1666"/>
      <c r="B1611" s="3467"/>
      <c r="C1611" s="3472" t="s">
        <v>755</v>
      </c>
      <c r="D1611" s="3472"/>
      <c r="E1611" s="1672">
        <f>E1612+E1616</f>
        <v>0</v>
      </c>
      <c r="F1611" s="1672">
        <f t="shared" ref="F1611" si="345">F1612+F1616</f>
        <v>0</v>
      </c>
      <c r="G1611" s="1673" t="e">
        <f t="shared" si="335"/>
        <v>#DIV/0!</v>
      </c>
      <c r="H1611" s="1635">
        <f t="shared" si="331"/>
        <v>0</v>
      </c>
    </row>
    <row r="1612" spans="1:8" ht="17.100000000000001" hidden="1" customHeight="1">
      <c r="A1612" s="1666"/>
      <c r="B1612" s="3467"/>
      <c r="C1612" s="3701" t="s">
        <v>756</v>
      </c>
      <c r="D1612" s="3701"/>
      <c r="E1612" s="1904">
        <f t="shared" ref="E1612:F1613" si="346">E1613</f>
        <v>0</v>
      </c>
      <c r="F1612" s="1904">
        <f t="shared" si="346"/>
        <v>0</v>
      </c>
      <c r="G1612" s="1905"/>
      <c r="H1612" s="1635">
        <f t="shared" si="331"/>
        <v>0</v>
      </c>
    </row>
    <row r="1613" spans="1:8" ht="17.100000000000001" hidden="1" customHeight="1">
      <c r="A1613" s="1666"/>
      <c r="B1613" s="3467"/>
      <c r="C1613" s="3702" t="s">
        <v>770</v>
      </c>
      <c r="D1613" s="3702"/>
      <c r="E1613" s="1906">
        <f t="shared" si="346"/>
        <v>0</v>
      </c>
      <c r="F1613" s="1906">
        <f t="shared" si="346"/>
        <v>0</v>
      </c>
      <c r="G1613" s="1907"/>
      <c r="H1613" s="1635">
        <f t="shared" si="331"/>
        <v>0</v>
      </c>
    </row>
    <row r="1614" spans="1:8" ht="17.100000000000001" hidden="1" customHeight="1">
      <c r="A1614" s="1666"/>
      <c r="B1614" s="3467"/>
      <c r="C1614" s="2370" t="s">
        <v>783</v>
      </c>
      <c r="D1614" s="2386" t="s">
        <v>784</v>
      </c>
      <c r="E1614" s="2387">
        <v>0</v>
      </c>
      <c r="F1614" s="2387">
        <f>H1614</f>
        <v>0</v>
      </c>
      <c r="G1614" s="2388"/>
      <c r="H1614" s="1635">
        <f t="shared" si="331"/>
        <v>0</v>
      </c>
    </row>
    <row r="1615" spans="1:8" ht="17.100000000000001" hidden="1" customHeight="1">
      <c r="A1615" s="1666"/>
      <c r="B1615" s="1698"/>
      <c r="C1615" s="3709"/>
      <c r="D1615" s="3710"/>
      <c r="E1615" s="2387"/>
      <c r="F1615" s="2387"/>
      <c r="G1615" s="2388"/>
      <c r="H1615" s="1635">
        <f t="shared" si="331"/>
        <v>0</v>
      </c>
    </row>
    <row r="1616" spans="1:8" ht="17.100000000000001" hidden="1" customHeight="1">
      <c r="A1616" s="1666"/>
      <c r="B1616" s="1698"/>
      <c r="C1616" s="3703" t="s">
        <v>287</v>
      </c>
      <c r="D1616" s="3701"/>
      <c r="E1616" s="2389">
        <f>E1617+E1618</f>
        <v>0</v>
      </c>
      <c r="F1616" s="2389">
        <f t="shared" ref="F1616" si="347">F1617+F1618</f>
        <v>0</v>
      </c>
      <c r="G1616" s="2390" t="e">
        <f t="shared" si="335"/>
        <v>#DIV/0!</v>
      </c>
      <c r="H1616" s="1635">
        <f t="shared" si="331"/>
        <v>0</v>
      </c>
    </row>
    <row r="1617" spans="1:8" ht="39" hidden="1" customHeight="1">
      <c r="A1617" s="1666"/>
      <c r="B1617" s="1698"/>
      <c r="C1617" s="2391" t="s">
        <v>1146</v>
      </c>
      <c r="D1617" s="2392" t="s">
        <v>1147</v>
      </c>
      <c r="E1617" s="2387">
        <v>0</v>
      </c>
      <c r="F1617" s="2387">
        <f>H1617</f>
        <v>0</v>
      </c>
      <c r="G1617" s="2388" t="e">
        <f t="shared" si="335"/>
        <v>#DIV/0!</v>
      </c>
      <c r="H1617" s="1635">
        <f t="shared" si="331"/>
        <v>0</v>
      </c>
    </row>
    <row r="1618" spans="1:8" ht="39" hidden="1" customHeight="1">
      <c r="A1618" s="1666"/>
      <c r="B1618" s="1698"/>
      <c r="C1618" s="2391" t="s">
        <v>1148</v>
      </c>
      <c r="D1618" s="2392" t="s">
        <v>1149</v>
      </c>
      <c r="E1618" s="2387">
        <v>0</v>
      </c>
      <c r="F1618" s="2387">
        <f>H1618</f>
        <v>0</v>
      </c>
      <c r="G1618" s="2388" t="e">
        <f t="shared" si="335"/>
        <v>#DIV/0!</v>
      </c>
      <c r="H1618" s="1635">
        <f t="shared" si="331"/>
        <v>0</v>
      </c>
    </row>
    <row r="1619" spans="1:8" ht="14.25" hidden="1" customHeight="1">
      <c r="A1619" s="1666"/>
      <c r="B1619" s="1698"/>
      <c r="C1619" s="1968"/>
      <c r="D1619" s="2392"/>
      <c r="E1619" s="2389"/>
      <c r="F1619" s="2389"/>
      <c r="G1619" s="2388"/>
      <c r="H1619" s="1635">
        <f t="shared" si="331"/>
        <v>0</v>
      </c>
    </row>
    <row r="1620" spans="1:8" ht="17.25" hidden="1" customHeight="1">
      <c r="A1620" s="1666"/>
      <c r="B1620" s="1698"/>
      <c r="C1620" s="3698" t="s">
        <v>810</v>
      </c>
      <c r="D1620" s="3719"/>
      <c r="E1620" s="2393">
        <f>E1621</f>
        <v>0</v>
      </c>
      <c r="F1620" s="2393">
        <f>F1621</f>
        <v>0</v>
      </c>
      <c r="G1620" s="2388" t="e">
        <f t="shared" si="335"/>
        <v>#DIV/0!</v>
      </c>
      <c r="H1620" s="1635">
        <f t="shared" si="331"/>
        <v>0</v>
      </c>
    </row>
    <row r="1621" spans="1:8" ht="17.25" hidden="1" customHeight="1">
      <c r="A1621" s="1666"/>
      <c r="B1621" s="1698"/>
      <c r="C1621" s="3699" t="s">
        <v>811</v>
      </c>
      <c r="D1621" s="3720"/>
      <c r="E1621" s="2389">
        <f>E1622+E1623</f>
        <v>0</v>
      </c>
      <c r="F1621" s="2389">
        <f>F1622+F1623</f>
        <v>0</v>
      </c>
      <c r="G1621" s="2388" t="e">
        <f t="shared" si="335"/>
        <v>#DIV/0!</v>
      </c>
      <c r="H1621" s="1635">
        <f t="shared" si="331"/>
        <v>0</v>
      </c>
    </row>
    <row r="1622" spans="1:8" ht="39" hidden="1" customHeight="1">
      <c r="A1622" s="1666"/>
      <c r="B1622" s="1698"/>
      <c r="C1622" s="2380" t="s">
        <v>1006</v>
      </c>
      <c r="D1622" s="2394" t="s">
        <v>1007</v>
      </c>
      <c r="E1622" s="2389">
        <v>0</v>
      </c>
      <c r="F1622" s="2389">
        <f>H1622</f>
        <v>0</v>
      </c>
      <c r="G1622" s="2388" t="e">
        <f t="shared" si="335"/>
        <v>#DIV/0!</v>
      </c>
      <c r="H1622" s="1635">
        <f t="shared" si="331"/>
        <v>0</v>
      </c>
    </row>
    <row r="1623" spans="1:8" ht="42" hidden="1" customHeight="1" thickBot="1">
      <c r="A1623" s="1666"/>
      <c r="B1623" s="1698"/>
      <c r="C1623" s="2395" t="s">
        <v>1008</v>
      </c>
      <c r="D1623" s="2396" t="s">
        <v>1009</v>
      </c>
      <c r="E1623" s="1694">
        <v>0</v>
      </c>
      <c r="F1623" s="2389">
        <f>H1623</f>
        <v>0</v>
      </c>
      <c r="G1623" s="2388" t="e">
        <f t="shared" si="335"/>
        <v>#DIV/0!</v>
      </c>
      <c r="H1623" s="1635">
        <f t="shared" si="331"/>
        <v>0</v>
      </c>
    </row>
    <row r="1624" spans="1:8" ht="17.100000000000001" customHeight="1" thickBot="1">
      <c r="A1624" s="1660" t="s">
        <v>44</v>
      </c>
      <c r="B1624" s="1765"/>
      <c r="C1624" s="1766"/>
      <c r="D1624" s="1767" t="s">
        <v>1150</v>
      </c>
      <c r="E1624" s="1768">
        <f>E1625+E1640+E1644+E1656+E1664+E1672+E1684+E1689+E1693+E1706+E1711+E1721</f>
        <v>121315564</v>
      </c>
      <c r="F1624" s="1768">
        <f>F1625+F1640+F1644+F1656+F1664+F1672+F1684+F1689+F1693+F1706+F1711+F1721</f>
        <v>117100829</v>
      </c>
      <c r="G1624" s="1769">
        <f t="shared" si="335"/>
        <v>0.9652580851043977</v>
      </c>
      <c r="H1624" s="1635">
        <f t="shared" si="331"/>
        <v>0</v>
      </c>
    </row>
    <row r="1625" spans="1:8" ht="17.100000000000001" customHeight="1" thickBot="1">
      <c r="A1625" s="1666"/>
      <c r="B1625" s="1734" t="s">
        <v>1151</v>
      </c>
      <c r="C1625" s="1735"/>
      <c r="D1625" s="1736" t="s">
        <v>596</v>
      </c>
      <c r="E1625" s="1737">
        <f>E1626+E1635</f>
        <v>66144533</v>
      </c>
      <c r="F1625" s="1737">
        <f>F1626+F1635</f>
        <v>83037325</v>
      </c>
      <c r="G1625" s="1738">
        <f t="shared" si="335"/>
        <v>1.2553921123004981</v>
      </c>
      <c r="H1625" s="1635">
        <f t="shared" si="331"/>
        <v>0</v>
      </c>
    </row>
    <row r="1626" spans="1:8" ht="17.100000000000001" customHeight="1">
      <c r="A1626" s="1666"/>
      <c r="B1626" s="3672"/>
      <c r="C1626" s="3704" t="s">
        <v>755</v>
      </c>
      <c r="D1626" s="3705"/>
      <c r="E1626" s="1805">
        <f>E1627+E1631</f>
        <v>7853163</v>
      </c>
      <c r="F1626" s="1805">
        <f>F1627+F1631</f>
        <v>2642880</v>
      </c>
      <c r="G1626" s="1816">
        <f t="shared" si="335"/>
        <v>0.336537010628711</v>
      </c>
      <c r="H1626" s="1635">
        <f t="shared" si="331"/>
        <v>0</v>
      </c>
    </row>
    <row r="1627" spans="1:8" ht="17.100000000000001" hidden="1" customHeight="1">
      <c r="A1627" s="1666"/>
      <c r="B1627" s="3672"/>
      <c r="C1627" s="3701" t="s">
        <v>756</v>
      </c>
      <c r="D1627" s="3701"/>
      <c r="E1627" s="1688">
        <f>E1628</f>
        <v>6329813</v>
      </c>
      <c r="F1627" s="1688">
        <f>F1628</f>
        <v>0</v>
      </c>
      <c r="G1627" s="1750">
        <f t="shared" si="335"/>
        <v>0</v>
      </c>
      <c r="H1627" s="1635">
        <f t="shared" si="331"/>
        <v>0</v>
      </c>
    </row>
    <row r="1628" spans="1:8" ht="17.100000000000001" hidden="1" customHeight="1">
      <c r="A1628" s="1666"/>
      <c r="B1628" s="3672"/>
      <c r="C1628" s="3702" t="s">
        <v>770</v>
      </c>
      <c r="D1628" s="3702"/>
      <c r="E1628" s="2389">
        <f>E1629</f>
        <v>6329813</v>
      </c>
      <c r="F1628" s="2389">
        <f>F1629</f>
        <v>0</v>
      </c>
      <c r="G1628" s="1750">
        <f t="shared" si="335"/>
        <v>0</v>
      </c>
      <c r="H1628" s="1635">
        <f t="shared" si="331"/>
        <v>0</v>
      </c>
    </row>
    <row r="1629" spans="1:8" ht="27" hidden="1" customHeight="1">
      <c r="A1629" s="1666"/>
      <c r="B1629" s="3672"/>
      <c r="C1629" s="2397" t="s">
        <v>1152</v>
      </c>
      <c r="D1629" s="2073" t="s">
        <v>1153</v>
      </c>
      <c r="E1629" s="1749">
        <v>6329813</v>
      </c>
      <c r="F1629" s="1749">
        <f>H1629</f>
        <v>0</v>
      </c>
      <c r="G1629" s="1750">
        <f t="shared" si="335"/>
        <v>0</v>
      </c>
      <c r="H1629" s="1635">
        <f t="shared" si="331"/>
        <v>0</v>
      </c>
    </row>
    <row r="1630" spans="1:8" ht="15.75" hidden="1" customHeight="1">
      <c r="A1630" s="1666"/>
      <c r="B1630" s="3672"/>
      <c r="C1630" s="1666"/>
      <c r="D1630" s="1961"/>
      <c r="E1630" s="1688"/>
      <c r="F1630" s="1688"/>
      <c r="G1630" s="1689"/>
      <c r="H1630" s="1635">
        <f t="shared" si="331"/>
        <v>0</v>
      </c>
    </row>
    <row r="1631" spans="1:8" ht="17.100000000000001" customHeight="1">
      <c r="A1631" s="1666"/>
      <c r="B1631" s="3672"/>
      <c r="C1631" s="3706" t="s">
        <v>287</v>
      </c>
      <c r="D1631" s="3707"/>
      <c r="E1631" s="2389">
        <f>E1632+E1633</f>
        <v>1523350</v>
      </c>
      <c r="F1631" s="2389">
        <f t="shared" ref="F1631" si="348">F1632+F1633</f>
        <v>2642880</v>
      </c>
      <c r="G1631" s="2390">
        <f t="shared" si="335"/>
        <v>1.7349131847572783</v>
      </c>
      <c r="H1631" s="1635">
        <f t="shared" si="331"/>
        <v>0</v>
      </c>
    </row>
    <row r="1632" spans="1:8" ht="71.25" hidden="1" customHeight="1">
      <c r="A1632" s="1666"/>
      <c r="B1632" s="3672"/>
      <c r="C1632" s="2398" t="s">
        <v>649</v>
      </c>
      <c r="D1632" s="2392" t="s">
        <v>826</v>
      </c>
      <c r="E1632" s="2389"/>
      <c r="F1632" s="2389">
        <f>H1632</f>
        <v>0</v>
      </c>
      <c r="G1632" s="2390" t="e">
        <f t="shared" si="335"/>
        <v>#DIV/0!</v>
      </c>
      <c r="H1632" s="1635">
        <f t="shared" si="331"/>
        <v>0</v>
      </c>
    </row>
    <row r="1633" spans="1:23" ht="39.75" customHeight="1">
      <c r="A1633" s="1666"/>
      <c r="B1633" s="3672"/>
      <c r="C1633" s="2391" t="s">
        <v>1154</v>
      </c>
      <c r="D1633" s="2392" t="s">
        <v>1155</v>
      </c>
      <c r="E1633" s="2389">
        <v>1523350</v>
      </c>
      <c r="F1633" s="2389">
        <f>H1633</f>
        <v>2642880</v>
      </c>
      <c r="G1633" s="2390">
        <f t="shared" si="335"/>
        <v>1.7349131847572783</v>
      </c>
      <c r="H1633" s="1635">
        <f t="shared" si="331"/>
        <v>2642880</v>
      </c>
      <c r="K1633" s="1636">
        <v>2642880</v>
      </c>
    </row>
    <row r="1634" spans="1:23" ht="17.100000000000001" customHeight="1">
      <c r="A1634" s="1666"/>
      <c r="B1634" s="3672"/>
      <c r="C1634" s="2399"/>
      <c r="D1634" s="2400"/>
      <c r="E1634" s="2401"/>
      <c r="F1634" s="2401"/>
      <c r="G1634" s="2402"/>
      <c r="H1634" s="1635">
        <f t="shared" si="331"/>
        <v>0</v>
      </c>
    </row>
    <row r="1635" spans="1:23" ht="17.100000000000001" customHeight="1">
      <c r="A1635" s="1666"/>
      <c r="B1635" s="3672"/>
      <c r="C1635" s="3708" t="s">
        <v>810</v>
      </c>
      <c r="D1635" s="3708"/>
      <c r="E1635" s="2403">
        <f>E1636</f>
        <v>58291370</v>
      </c>
      <c r="F1635" s="2403">
        <f t="shared" ref="F1635" si="349">F1636</f>
        <v>80394445</v>
      </c>
      <c r="G1635" s="2404">
        <f t="shared" si="335"/>
        <v>1.3791826302933008</v>
      </c>
      <c r="H1635" s="1635">
        <f t="shared" si="331"/>
        <v>0</v>
      </c>
    </row>
    <row r="1636" spans="1:23" ht="17.100000000000001" customHeight="1">
      <c r="A1636" s="1666"/>
      <c r="B1636" s="3672"/>
      <c r="C1636" s="3699" t="s">
        <v>811</v>
      </c>
      <c r="D1636" s="3699"/>
      <c r="E1636" s="2389">
        <f>SUM(E1637:E1639)</f>
        <v>58291370</v>
      </c>
      <c r="F1636" s="2389">
        <f>SUM(F1637:F1639)</f>
        <v>80394445</v>
      </c>
      <c r="G1636" s="2390">
        <f t="shared" si="335"/>
        <v>1.3791826302933008</v>
      </c>
      <c r="H1636" s="1635">
        <f t="shared" si="331"/>
        <v>0</v>
      </c>
    </row>
    <row r="1637" spans="1:23" ht="52.5" customHeight="1">
      <c r="A1637" s="1666"/>
      <c r="B1637" s="2405"/>
      <c r="C1637" s="2406" t="s">
        <v>900</v>
      </c>
      <c r="D1637" s="2382" t="s">
        <v>905</v>
      </c>
      <c r="E1637" s="2389">
        <v>16768376</v>
      </c>
      <c r="F1637" s="2389">
        <f>H1637</f>
        <v>6435646</v>
      </c>
      <c r="G1637" s="2390">
        <f t="shared" si="335"/>
        <v>0.38379661811018551</v>
      </c>
      <c r="H1637" s="1635">
        <f t="shared" si="331"/>
        <v>6435646</v>
      </c>
      <c r="W1637" s="1636">
        <v>6435646</v>
      </c>
    </row>
    <row r="1638" spans="1:23" ht="41.25" customHeight="1" thickBot="1">
      <c r="A1638" s="1666"/>
      <c r="B1638" s="2405"/>
      <c r="C1638" s="2383" t="s">
        <v>1006</v>
      </c>
      <c r="D1638" s="2381" t="s">
        <v>1007</v>
      </c>
      <c r="E1638" s="2389">
        <v>41522994</v>
      </c>
      <c r="F1638" s="2389">
        <f t="shared" ref="F1638:F1639" si="350">H1638</f>
        <v>73958799</v>
      </c>
      <c r="G1638" s="2390">
        <f t="shared" si="335"/>
        <v>1.7811528475042044</v>
      </c>
      <c r="H1638" s="1635">
        <f t="shared" si="331"/>
        <v>73958799</v>
      </c>
      <c r="K1638" s="1636">
        <f>72419299+1539500</f>
        <v>73958799</v>
      </c>
    </row>
    <row r="1639" spans="1:23" ht="26.25" hidden="1" customHeight="1" thickBot="1">
      <c r="A1639" s="1666"/>
      <c r="B1639" s="2405"/>
      <c r="C1639" s="1706" t="s">
        <v>594</v>
      </c>
      <c r="D1639" s="1707" t="s">
        <v>1010</v>
      </c>
      <c r="E1639" s="1688"/>
      <c r="F1639" s="2389">
        <f t="shared" si="350"/>
        <v>0</v>
      </c>
      <c r="G1639" s="2390" t="e">
        <f t="shared" si="335"/>
        <v>#DIV/0!</v>
      </c>
      <c r="H1639" s="1635">
        <f t="shared" si="331"/>
        <v>0</v>
      </c>
    </row>
    <row r="1640" spans="1:23" ht="15" hidden="1" customHeight="1" thickBot="1">
      <c r="A1640" s="1666"/>
      <c r="B1640" s="1734" t="s">
        <v>1156</v>
      </c>
      <c r="C1640" s="1735"/>
      <c r="D1640" s="1736" t="s">
        <v>1157</v>
      </c>
      <c r="E1640" s="1737">
        <f>E1641</f>
        <v>914000</v>
      </c>
      <c r="F1640" s="1737">
        <f t="shared" ref="F1640:F1642" si="351">F1641</f>
        <v>0</v>
      </c>
      <c r="G1640" s="1738">
        <f t="shared" si="335"/>
        <v>0</v>
      </c>
      <c r="H1640" s="1635">
        <f t="shared" si="331"/>
        <v>0</v>
      </c>
    </row>
    <row r="1641" spans="1:23" ht="18.75" hidden="1" customHeight="1">
      <c r="A1641" s="1666"/>
      <c r="B1641" s="2405"/>
      <c r="C1641" s="3711" t="s">
        <v>810</v>
      </c>
      <c r="D1641" s="3712"/>
      <c r="E1641" s="2389">
        <f>E1642</f>
        <v>914000</v>
      </c>
      <c r="F1641" s="2389">
        <f t="shared" si="351"/>
        <v>0</v>
      </c>
      <c r="G1641" s="2390">
        <f t="shared" si="335"/>
        <v>0</v>
      </c>
      <c r="H1641" s="1635">
        <f t="shared" si="331"/>
        <v>0</v>
      </c>
    </row>
    <row r="1642" spans="1:23" ht="15.75" hidden="1" customHeight="1">
      <c r="A1642" s="1666"/>
      <c r="B1642" s="2405"/>
      <c r="C1642" s="3713" t="s">
        <v>945</v>
      </c>
      <c r="D1642" s="3714"/>
      <c r="E1642" s="2389">
        <f>E1643</f>
        <v>914000</v>
      </c>
      <c r="F1642" s="2389">
        <f t="shared" si="351"/>
        <v>0</v>
      </c>
      <c r="G1642" s="2390">
        <f t="shared" si="335"/>
        <v>0</v>
      </c>
      <c r="H1642" s="1635">
        <f t="shared" ref="H1642:H1724" si="352">SUM(I1642:AE1642)</f>
        <v>0</v>
      </c>
    </row>
    <row r="1643" spans="1:23" ht="39.75" hidden="1" customHeight="1" thickBot="1">
      <c r="A1643" s="1666"/>
      <c r="B1643" s="2405"/>
      <c r="C1643" s="2407" t="s">
        <v>946</v>
      </c>
      <c r="D1643" s="2408" t="s">
        <v>947</v>
      </c>
      <c r="E1643" s="2387">
        <v>914000</v>
      </c>
      <c r="F1643" s="2387">
        <f>H1643</f>
        <v>0</v>
      </c>
      <c r="G1643" s="2388">
        <f t="shared" si="335"/>
        <v>0</v>
      </c>
      <c r="H1643" s="1635">
        <f t="shared" si="352"/>
        <v>0</v>
      </c>
    </row>
    <row r="1644" spans="1:23" ht="15" customHeight="1" thickBot="1">
      <c r="A1644" s="1666"/>
      <c r="B1644" s="2409" t="s">
        <v>1158</v>
      </c>
      <c r="C1644" s="2410"/>
      <c r="D1644" s="2411" t="s">
        <v>603</v>
      </c>
      <c r="E1644" s="1737">
        <f>E1653+E1645</f>
        <v>10129676</v>
      </c>
      <c r="F1644" s="1737">
        <f>F1653+F1645</f>
        <v>6340245</v>
      </c>
      <c r="G1644" s="1738">
        <f t="shared" si="335"/>
        <v>0.62590797573387347</v>
      </c>
      <c r="H1644" s="1635">
        <f t="shared" si="352"/>
        <v>0</v>
      </c>
    </row>
    <row r="1645" spans="1:23" ht="15">
      <c r="A1645" s="1666"/>
      <c r="B1645" s="1745"/>
      <c r="C1645" s="3556" t="s">
        <v>755</v>
      </c>
      <c r="D1645" s="3683"/>
      <c r="E1645" s="1894">
        <f>E1646+E1650</f>
        <v>3700187</v>
      </c>
      <c r="F1645" s="1894">
        <f>F1646+F1650</f>
        <v>30000</v>
      </c>
      <c r="G1645" s="1944">
        <f t="shared" si="335"/>
        <v>8.1076983406514324E-3</v>
      </c>
      <c r="H1645" s="1635">
        <f t="shared" si="352"/>
        <v>0</v>
      </c>
    </row>
    <row r="1646" spans="1:23" ht="12.75" hidden="1" customHeight="1">
      <c r="A1646" s="1666"/>
      <c r="B1646" s="1745"/>
      <c r="C1646" s="3701" t="s">
        <v>756</v>
      </c>
      <c r="D1646" s="3701"/>
      <c r="E1646" s="2210">
        <f>E1647</f>
        <v>3670187</v>
      </c>
      <c r="F1646" s="2210">
        <f>F1647</f>
        <v>0</v>
      </c>
      <c r="G1646" s="2412">
        <f t="shared" si="335"/>
        <v>0</v>
      </c>
      <c r="H1646" s="1635">
        <f t="shared" si="352"/>
        <v>0</v>
      </c>
    </row>
    <row r="1647" spans="1:23" ht="12.75" hidden="1" customHeight="1">
      <c r="A1647" s="1666"/>
      <c r="B1647" s="1745"/>
      <c r="C1647" s="3702" t="s">
        <v>770</v>
      </c>
      <c r="D1647" s="3702"/>
      <c r="E1647" s="2210">
        <f>E1648</f>
        <v>3670187</v>
      </c>
      <c r="F1647" s="2210">
        <f>F1648</f>
        <v>0</v>
      </c>
      <c r="G1647" s="2412">
        <f t="shared" si="335"/>
        <v>0</v>
      </c>
      <c r="H1647" s="1635">
        <f t="shared" si="352"/>
        <v>0</v>
      </c>
    </row>
    <row r="1648" spans="1:23" ht="25.5" hidden="1" customHeight="1">
      <c r="A1648" s="1666"/>
      <c r="B1648" s="1745"/>
      <c r="C1648" s="2397" t="s">
        <v>1152</v>
      </c>
      <c r="D1648" s="2073" t="s">
        <v>1153</v>
      </c>
      <c r="E1648" s="2210">
        <v>3670187</v>
      </c>
      <c r="F1648" s="2210">
        <f>H1648</f>
        <v>0</v>
      </c>
      <c r="G1648" s="2412">
        <f t="shared" si="335"/>
        <v>0</v>
      </c>
      <c r="H1648" s="1635">
        <f t="shared" si="352"/>
        <v>0</v>
      </c>
    </row>
    <row r="1649" spans="1:11" ht="15" hidden="1" customHeight="1">
      <c r="A1649" s="1666"/>
      <c r="B1649" s="1745"/>
      <c r="C1649" s="2413"/>
      <c r="D1649" s="2414"/>
      <c r="E1649" s="1894"/>
      <c r="F1649" s="1894"/>
      <c r="G1649" s="1944"/>
      <c r="H1649" s="1635">
        <f t="shared" si="352"/>
        <v>0</v>
      </c>
    </row>
    <row r="1650" spans="1:11" ht="15">
      <c r="A1650" s="1666"/>
      <c r="B1650" s="1745"/>
      <c r="C1650" s="3715" t="s">
        <v>287</v>
      </c>
      <c r="D1650" s="3716"/>
      <c r="E1650" s="2415">
        <f t="shared" ref="E1650:F1650" si="353">E1651</f>
        <v>30000</v>
      </c>
      <c r="F1650" s="2415">
        <f t="shared" si="353"/>
        <v>30000</v>
      </c>
      <c r="G1650" s="2412">
        <f t="shared" si="335"/>
        <v>1</v>
      </c>
      <c r="H1650" s="1635">
        <f t="shared" si="352"/>
        <v>0</v>
      </c>
    </row>
    <row r="1651" spans="1:11" ht="33.75" customHeight="1">
      <c r="A1651" s="3182"/>
      <c r="B1651" s="1745"/>
      <c r="C1651" s="3092" t="s">
        <v>1154</v>
      </c>
      <c r="D1651" s="3093" t="s">
        <v>1155</v>
      </c>
      <c r="E1651" s="3067">
        <v>30000</v>
      </c>
      <c r="F1651" s="3067">
        <f>H1651</f>
        <v>30000</v>
      </c>
      <c r="G1651" s="2412">
        <f t="shared" si="335"/>
        <v>1</v>
      </c>
      <c r="H1651" s="1635">
        <f t="shared" si="352"/>
        <v>30000</v>
      </c>
      <c r="K1651" s="1636">
        <v>30000</v>
      </c>
    </row>
    <row r="1652" spans="1:11" ht="15.75" thickBot="1">
      <c r="A1652" s="1792"/>
      <c r="B1652" s="3058"/>
      <c r="C1652" s="3094"/>
      <c r="D1652" s="3095"/>
      <c r="E1652" s="3096"/>
      <c r="F1652" s="3096"/>
      <c r="G1652" s="1712"/>
      <c r="H1652" s="1635">
        <f t="shared" si="352"/>
        <v>0</v>
      </c>
    </row>
    <row r="1653" spans="1:11" ht="12.75" customHeight="1">
      <c r="A1653" s="1666"/>
      <c r="B1653" s="1745"/>
      <c r="C1653" s="3717" t="s">
        <v>810</v>
      </c>
      <c r="D1653" s="3717"/>
      <c r="E1653" s="2578">
        <f t="shared" ref="E1653:F1654" si="354">E1654</f>
        <v>6429489</v>
      </c>
      <c r="F1653" s="2578">
        <f t="shared" si="354"/>
        <v>6310245</v>
      </c>
      <c r="G1653" s="2404">
        <f t="shared" si="335"/>
        <v>0.98145358052560627</v>
      </c>
      <c r="H1653" s="1635">
        <f t="shared" si="352"/>
        <v>0</v>
      </c>
    </row>
    <row r="1654" spans="1:11" ht="12.75" customHeight="1">
      <c r="A1654" s="1666"/>
      <c r="B1654" s="1745"/>
      <c r="C1654" s="3718" t="s">
        <v>811</v>
      </c>
      <c r="D1654" s="3718"/>
      <c r="E1654" s="2387">
        <f t="shared" si="354"/>
        <v>6429489</v>
      </c>
      <c r="F1654" s="2387">
        <f t="shared" si="354"/>
        <v>6310245</v>
      </c>
      <c r="G1654" s="2388">
        <f t="shared" si="335"/>
        <v>0.98145358052560627</v>
      </c>
      <c r="H1654" s="1635">
        <f t="shared" si="352"/>
        <v>0</v>
      </c>
    </row>
    <row r="1655" spans="1:11" ht="39" thickBot="1">
      <c r="A1655" s="1666"/>
      <c r="B1655" s="1745"/>
      <c r="C1655" s="2013" t="s">
        <v>1006</v>
      </c>
      <c r="D1655" s="1813" t="s">
        <v>1007</v>
      </c>
      <c r="E1655" s="1694">
        <v>6429489</v>
      </c>
      <c r="F1655" s="1694">
        <f>H1655</f>
        <v>6310245</v>
      </c>
      <c r="G1655" s="1695">
        <f t="shared" si="335"/>
        <v>0.98145358052560627</v>
      </c>
      <c r="H1655" s="1635">
        <f t="shared" si="352"/>
        <v>6310245</v>
      </c>
      <c r="K1655" s="1636">
        <v>6310245</v>
      </c>
    </row>
    <row r="1656" spans="1:11" ht="17.100000000000001" customHeight="1" thickBot="1">
      <c r="A1656" s="1666"/>
      <c r="B1656" s="2132" t="s">
        <v>1159</v>
      </c>
      <c r="C1656" s="1735"/>
      <c r="D1656" s="1736" t="s">
        <v>1160</v>
      </c>
      <c r="E1656" s="1737">
        <f>E1657+E1661</f>
        <v>4299051</v>
      </c>
      <c r="F1656" s="1737">
        <f>F1657+F1661</f>
        <v>3408973</v>
      </c>
      <c r="G1656" s="1738">
        <f t="shared" si="335"/>
        <v>0.79295942290519461</v>
      </c>
      <c r="H1656" s="1635">
        <f t="shared" si="352"/>
        <v>0</v>
      </c>
    </row>
    <row r="1657" spans="1:11" ht="15">
      <c r="A1657" s="1666"/>
      <c r="B1657" s="2405"/>
      <c r="C1657" s="3556" t="s">
        <v>755</v>
      </c>
      <c r="D1657" s="3683"/>
      <c r="E1657" s="1894">
        <f>E1658</f>
        <v>550000</v>
      </c>
      <c r="F1657" s="1894">
        <f t="shared" ref="F1657:F1658" si="355">F1658</f>
        <v>550000</v>
      </c>
      <c r="G1657" s="2418">
        <f t="shared" si="335"/>
        <v>1</v>
      </c>
      <c r="H1657" s="1635">
        <f t="shared" si="352"/>
        <v>0</v>
      </c>
    </row>
    <row r="1658" spans="1:11" ht="15">
      <c r="A1658" s="1666"/>
      <c r="B1658" s="2405"/>
      <c r="C1658" s="3715" t="s">
        <v>287</v>
      </c>
      <c r="D1658" s="3716"/>
      <c r="E1658" s="2419">
        <f>E1659</f>
        <v>550000</v>
      </c>
      <c r="F1658" s="2419">
        <f t="shared" si="355"/>
        <v>550000</v>
      </c>
      <c r="G1658" s="2388">
        <f t="shared" si="335"/>
        <v>1</v>
      </c>
      <c r="H1658" s="1635">
        <f t="shared" si="352"/>
        <v>0</v>
      </c>
    </row>
    <row r="1659" spans="1:11" ht="34.5" customHeight="1">
      <c r="A1659" s="1666"/>
      <c r="B1659" s="2405"/>
      <c r="C1659" s="2416" t="s">
        <v>1154</v>
      </c>
      <c r="D1659" s="2417" t="s">
        <v>1155</v>
      </c>
      <c r="E1659" s="2419">
        <v>550000</v>
      </c>
      <c r="F1659" s="2419">
        <f>H1659</f>
        <v>550000</v>
      </c>
      <c r="G1659" s="2388">
        <f t="shared" si="335"/>
        <v>1</v>
      </c>
      <c r="H1659" s="1635">
        <f t="shared" si="352"/>
        <v>550000</v>
      </c>
      <c r="K1659" s="1636">
        <v>550000</v>
      </c>
    </row>
    <row r="1660" spans="1:11" ht="15">
      <c r="A1660" s="1666"/>
      <c r="B1660" s="2405"/>
      <c r="C1660" s="2420"/>
      <c r="D1660" s="2421"/>
      <c r="E1660" s="2422"/>
      <c r="F1660" s="2422"/>
      <c r="G1660" s="2423"/>
      <c r="H1660" s="1635">
        <f t="shared" si="352"/>
        <v>0</v>
      </c>
    </row>
    <row r="1661" spans="1:11">
      <c r="A1661" s="1666"/>
      <c r="B1661" s="3467"/>
      <c r="C1661" s="3725" t="s">
        <v>810</v>
      </c>
      <c r="D1661" s="3726"/>
      <c r="E1661" s="1672">
        <f t="shared" ref="E1661:F1661" si="356">SUM(E1662)</f>
        <v>3749051</v>
      </c>
      <c r="F1661" s="1672">
        <f t="shared" si="356"/>
        <v>2858973</v>
      </c>
      <c r="G1661" s="2424">
        <f t="shared" si="335"/>
        <v>0.76258578504266816</v>
      </c>
      <c r="H1661" s="1635">
        <f t="shared" si="352"/>
        <v>0</v>
      </c>
    </row>
    <row r="1662" spans="1:11">
      <c r="A1662" s="1666"/>
      <c r="B1662" s="3467"/>
      <c r="C1662" s="3699" t="s">
        <v>811</v>
      </c>
      <c r="D1662" s="3699"/>
      <c r="E1662" s="1904">
        <f t="shared" ref="E1662:F1662" si="357">E1663</f>
        <v>3749051</v>
      </c>
      <c r="F1662" s="1904">
        <f t="shared" si="357"/>
        <v>2858973</v>
      </c>
      <c r="G1662" s="1905">
        <f t="shared" si="335"/>
        <v>0.76258578504266816</v>
      </c>
      <c r="H1662" s="1635">
        <f t="shared" si="352"/>
        <v>0</v>
      </c>
    </row>
    <row r="1663" spans="1:11" ht="39" thickBot="1">
      <c r="A1663" s="1666"/>
      <c r="B1663" s="3467"/>
      <c r="C1663" s="2370" t="s">
        <v>1006</v>
      </c>
      <c r="D1663" s="2386" t="s">
        <v>1007</v>
      </c>
      <c r="E1663" s="2371">
        <v>3749051</v>
      </c>
      <c r="F1663" s="2371">
        <f>H1663</f>
        <v>2858973</v>
      </c>
      <c r="G1663" s="2372">
        <f t="shared" si="335"/>
        <v>0.76258578504266816</v>
      </c>
      <c r="H1663" s="1635">
        <f t="shared" si="352"/>
        <v>2858973</v>
      </c>
      <c r="K1663" s="1636">
        <v>2858973</v>
      </c>
    </row>
    <row r="1664" spans="1:11" ht="13.5" thickBot="1">
      <c r="A1664" s="1666"/>
      <c r="B1664" s="1734" t="s">
        <v>80</v>
      </c>
      <c r="C1664" s="1735"/>
      <c r="D1664" s="1736" t="s">
        <v>25</v>
      </c>
      <c r="E1664" s="1737">
        <f>E1665+E1669</f>
        <v>1124774</v>
      </c>
      <c r="F1664" s="1737">
        <f t="shared" ref="F1664" si="358">F1665+F1669</f>
        <v>783954</v>
      </c>
      <c r="G1664" s="1738">
        <f t="shared" si="335"/>
        <v>0.6969880171483338</v>
      </c>
      <c r="H1664" s="1635">
        <f t="shared" si="352"/>
        <v>0</v>
      </c>
    </row>
    <row r="1665" spans="1:11" ht="15" hidden="1">
      <c r="A1665" s="1666"/>
      <c r="B1665" s="1867"/>
      <c r="C1665" s="3556" t="s">
        <v>755</v>
      </c>
      <c r="D1665" s="3683"/>
      <c r="E1665" s="1894">
        <f>E1666</f>
        <v>0</v>
      </c>
      <c r="F1665" s="2425">
        <f t="shared" ref="F1665:F1666" si="359">F1666</f>
        <v>0</v>
      </c>
      <c r="G1665" s="2426" t="e">
        <f t="shared" si="335"/>
        <v>#DIV/0!</v>
      </c>
      <c r="H1665" s="1635">
        <f t="shared" si="352"/>
        <v>0</v>
      </c>
    </row>
    <row r="1666" spans="1:11" ht="15" hidden="1">
      <c r="A1666" s="1666"/>
      <c r="B1666" s="1867"/>
      <c r="C1666" s="3721" t="s">
        <v>287</v>
      </c>
      <c r="D1666" s="3722"/>
      <c r="E1666" s="2419">
        <f>E1667</f>
        <v>0</v>
      </c>
      <c r="F1666" s="2427">
        <f t="shared" si="359"/>
        <v>0</v>
      </c>
      <c r="G1666" s="2428" t="e">
        <f t="shared" si="335"/>
        <v>#DIV/0!</v>
      </c>
      <c r="H1666" s="1635">
        <f t="shared" si="352"/>
        <v>0</v>
      </c>
    </row>
    <row r="1667" spans="1:11" ht="33.75" hidden="1" customHeight="1">
      <c r="A1667" s="1666"/>
      <c r="B1667" s="1867"/>
      <c r="C1667" s="2416" t="s">
        <v>1154</v>
      </c>
      <c r="D1667" s="2429" t="s">
        <v>1155</v>
      </c>
      <c r="E1667" s="2419"/>
      <c r="F1667" s="2427">
        <f>H1667</f>
        <v>0</v>
      </c>
      <c r="G1667" s="2428" t="e">
        <f t="shared" si="335"/>
        <v>#DIV/0!</v>
      </c>
      <c r="H1667" s="1635">
        <f t="shared" si="352"/>
        <v>0</v>
      </c>
    </row>
    <row r="1668" spans="1:11" ht="15" hidden="1">
      <c r="A1668" s="1666"/>
      <c r="B1668" s="1867"/>
      <c r="C1668" s="3556"/>
      <c r="D1668" s="3683"/>
      <c r="E1668" s="1894"/>
      <c r="F1668" s="1894"/>
      <c r="G1668" s="1944"/>
      <c r="H1668" s="1635">
        <f t="shared" si="352"/>
        <v>0</v>
      </c>
    </row>
    <row r="1669" spans="1:11">
      <c r="A1669" s="1666"/>
      <c r="B1669" s="3723"/>
      <c r="C1669" s="3497" t="s">
        <v>810</v>
      </c>
      <c r="D1669" s="3497"/>
      <c r="E1669" s="1672">
        <f t="shared" ref="E1669:F1670" si="360">E1670</f>
        <v>1124774</v>
      </c>
      <c r="F1669" s="1672">
        <f t="shared" si="360"/>
        <v>783954</v>
      </c>
      <c r="G1669" s="1673">
        <f t="shared" si="335"/>
        <v>0.6969880171483338</v>
      </c>
      <c r="H1669" s="1635">
        <f t="shared" si="352"/>
        <v>0</v>
      </c>
    </row>
    <row r="1670" spans="1:11">
      <c r="A1670" s="1666"/>
      <c r="B1670" s="3723"/>
      <c r="C1670" s="3724" t="s">
        <v>937</v>
      </c>
      <c r="D1670" s="3724"/>
      <c r="E1670" s="1904">
        <f t="shared" si="360"/>
        <v>1124774</v>
      </c>
      <c r="F1670" s="1904">
        <f t="shared" si="360"/>
        <v>783954</v>
      </c>
      <c r="G1670" s="1905">
        <f t="shared" si="335"/>
        <v>0.6969880171483338</v>
      </c>
      <c r="H1670" s="1635">
        <f t="shared" si="352"/>
        <v>0</v>
      </c>
    </row>
    <row r="1671" spans="1:11" ht="39" thickBot="1">
      <c r="A1671" s="1666"/>
      <c r="B1671" s="3723"/>
      <c r="C1671" s="2430" t="s">
        <v>1006</v>
      </c>
      <c r="D1671" s="2431" t="s">
        <v>1007</v>
      </c>
      <c r="E1671" s="2432">
        <v>1124774</v>
      </c>
      <c r="F1671" s="2432">
        <f>H1671</f>
        <v>783954</v>
      </c>
      <c r="G1671" s="2433">
        <f t="shared" si="335"/>
        <v>0.6969880171483338</v>
      </c>
      <c r="H1671" s="1635">
        <f t="shared" si="352"/>
        <v>783954</v>
      </c>
      <c r="K1671" s="1636">
        <v>783954</v>
      </c>
    </row>
    <row r="1672" spans="1:11" ht="17.100000000000001" customHeight="1" thickBot="1">
      <c r="A1672" s="1666"/>
      <c r="B1672" s="1734" t="s">
        <v>1161</v>
      </c>
      <c r="C1672" s="1735"/>
      <c r="D1672" s="1736" t="s">
        <v>607</v>
      </c>
      <c r="E1672" s="1737">
        <f>E1673+E1681</f>
        <v>2505778</v>
      </c>
      <c r="F1672" s="1737">
        <f>F1673+F1681</f>
        <v>3022407</v>
      </c>
      <c r="G1672" s="1738">
        <f t="shared" si="335"/>
        <v>1.2061750881362994</v>
      </c>
      <c r="H1672" s="1635">
        <f t="shared" si="352"/>
        <v>0</v>
      </c>
    </row>
    <row r="1673" spans="1:11" ht="17.100000000000001" customHeight="1">
      <c r="A1673" s="1666"/>
      <c r="B1673" s="1678"/>
      <c r="C1673" s="3472" t="s">
        <v>755</v>
      </c>
      <c r="D1673" s="3472"/>
      <c r="E1673" s="1672">
        <f t="shared" ref="E1673:F1673" si="361">E1674+E1678</f>
        <v>2461828</v>
      </c>
      <c r="F1673" s="1672">
        <f t="shared" si="361"/>
        <v>3002607</v>
      </c>
      <c r="G1673" s="1673">
        <f t="shared" ref="G1673:G1782" si="362">F1673/E1673</f>
        <v>1.2196656305802029</v>
      </c>
      <c r="H1673" s="1635">
        <f t="shared" si="352"/>
        <v>0</v>
      </c>
    </row>
    <row r="1674" spans="1:11" ht="17.100000000000001" customHeight="1">
      <c r="A1674" s="1666"/>
      <c r="B1674" s="1678"/>
      <c r="C1674" s="3727" t="s">
        <v>756</v>
      </c>
      <c r="D1674" s="3727"/>
      <c r="E1674" s="1904">
        <f t="shared" ref="E1674:F1675" si="363">E1675</f>
        <v>1359278</v>
      </c>
      <c r="F1674" s="1904">
        <f t="shared" si="363"/>
        <v>1900057</v>
      </c>
      <c r="G1674" s="1905">
        <f t="shared" si="362"/>
        <v>1.3978428253822985</v>
      </c>
      <c r="H1674" s="1635">
        <f t="shared" si="352"/>
        <v>0</v>
      </c>
    </row>
    <row r="1675" spans="1:11" ht="17.100000000000001" customHeight="1">
      <c r="A1675" s="1666"/>
      <c r="B1675" s="3519"/>
      <c r="C1675" s="3728" t="s">
        <v>770</v>
      </c>
      <c r="D1675" s="3728"/>
      <c r="E1675" s="1906">
        <f t="shared" si="363"/>
        <v>1359278</v>
      </c>
      <c r="F1675" s="1906">
        <f t="shared" si="363"/>
        <v>1900057</v>
      </c>
      <c r="G1675" s="1907">
        <f t="shared" si="362"/>
        <v>1.3978428253822985</v>
      </c>
      <c r="H1675" s="1635">
        <f t="shared" si="352"/>
        <v>0</v>
      </c>
    </row>
    <row r="1676" spans="1:11" ht="17.100000000000001" customHeight="1">
      <c r="A1676" s="1666"/>
      <c r="B1676" s="3519"/>
      <c r="C1676" s="2327" t="s">
        <v>781</v>
      </c>
      <c r="D1676" s="2328" t="s">
        <v>782</v>
      </c>
      <c r="E1676" s="1904">
        <v>1359278</v>
      </c>
      <c r="F1676" s="1904">
        <f>H1676</f>
        <v>1900057</v>
      </c>
      <c r="G1676" s="1905">
        <f t="shared" si="362"/>
        <v>1.3978428253822985</v>
      </c>
      <c r="H1676" s="1635">
        <f t="shared" si="352"/>
        <v>1900057</v>
      </c>
      <c r="K1676" s="1636">
        <v>1900057</v>
      </c>
    </row>
    <row r="1677" spans="1:11" ht="17.100000000000001" customHeight="1">
      <c r="A1677" s="1666"/>
      <c r="B1677" s="3519"/>
      <c r="C1677" s="1699"/>
      <c r="D1677" s="1699"/>
      <c r="E1677" s="1683"/>
      <c r="F1677" s="1683"/>
      <c r="G1677" s="1684"/>
      <c r="H1677" s="1635">
        <f t="shared" si="352"/>
        <v>0</v>
      </c>
    </row>
    <row r="1678" spans="1:11" ht="17.100000000000001" customHeight="1">
      <c r="A1678" s="1666"/>
      <c r="B1678" s="3519"/>
      <c r="C1678" s="3724" t="s">
        <v>857</v>
      </c>
      <c r="D1678" s="3724"/>
      <c r="E1678" s="1904">
        <f t="shared" ref="E1678:F1678" si="364">E1679</f>
        <v>1102550</v>
      </c>
      <c r="F1678" s="1904">
        <f t="shared" si="364"/>
        <v>1102550</v>
      </c>
      <c r="G1678" s="1905">
        <f t="shared" si="362"/>
        <v>1</v>
      </c>
      <c r="H1678" s="1635">
        <f t="shared" si="352"/>
        <v>0</v>
      </c>
    </row>
    <row r="1679" spans="1:11" ht="33" customHeight="1">
      <c r="A1679" s="1666"/>
      <c r="B1679" s="3519"/>
      <c r="C1679" s="2327" t="s">
        <v>1154</v>
      </c>
      <c r="D1679" s="2328" t="s">
        <v>1155</v>
      </c>
      <c r="E1679" s="1904">
        <v>1102550</v>
      </c>
      <c r="F1679" s="1904">
        <f>H1679</f>
        <v>1102550</v>
      </c>
      <c r="G1679" s="1905">
        <f t="shared" si="362"/>
        <v>1</v>
      </c>
      <c r="H1679" s="1635">
        <f t="shared" si="352"/>
        <v>1102550</v>
      </c>
      <c r="K1679" s="1636">
        <v>1102550</v>
      </c>
    </row>
    <row r="1680" spans="1:11" ht="15" customHeight="1">
      <c r="A1680" s="1666"/>
      <c r="B1680" s="1678"/>
      <c r="C1680" s="2001"/>
      <c r="D1680" s="2022"/>
      <c r="E1680" s="1749"/>
      <c r="F1680" s="1749"/>
      <c r="G1680" s="1905"/>
      <c r="H1680" s="1635">
        <f t="shared" si="352"/>
        <v>0</v>
      </c>
    </row>
    <row r="1681" spans="1:11" ht="17.25" customHeight="1">
      <c r="A1681" s="1666"/>
      <c r="B1681" s="1678"/>
      <c r="C1681" s="3497" t="s">
        <v>810</v>
      </c>
      <c r="D1681" s="3497"/>
      <c r="E1681" s="1672">
        <f>E1682</f>
        <v>43950</v>
      </c>
      <c r="F1681" s="1672">
        <f>F1682</f>
        <v>19800</v>
      </c>
      <c r="G1681" s="2054">
        <f t="shared" si="362"/>
        <v>0.45051194539249145</v>
      </c>
      <c r="H1681" s="1635">
        <f t="shared" si="352"/>
        <v>0</v>
      </c>
    </row>
    <row r="1682" spans="1:11" ht="18" customHeight="1">
      <c r="A1682" s="1666"/>
      <c r="B1682" s="1678"/>
      <c r="C1682" s="3724" t="s">
        <v>937</v>
      </c>
      <c r="D1682" s="3724"/>
      <c r="E1682" s="1904">
        <f>E1683</f>
        <v>43950</v>
      </c>
      <c r="F1682" s="1904">
        <f>F1683</f>
        <v>19800</v>
      </c>
      <c r="G1682" s="1905">
        <f t="shared" si="362"/>
        <v>0.45051194539249145</v>
      </c>
      <c r="H1682" s="1635">
        <f t="shared" si="352"/>
        <v>0</v>
      </c>
    </row>
    <row r="1683" spans="1:11" ht="40.5" customHeight="1" thickBot="1">
      <c r="A1683" s="1666"/>
      <c r="B1683" s="1678"/>
      <c r="C1683" s="2327" t="s">
        <v>1006</v>
      </c>
      <c r="D1683" s="2328" t="s">
        <v>1007</v>
      </c>
      <c r="E1683" s="1904">
        <v>43950</v>
      </c>
      <c r="F1683" s="1904">
        <f>H1683</f>
        <v>19800</v>
      </c>
      <c r="G1683" s="1905">
        <f t="shared" si="362"/>
        <v>0.45051194539249145</v>
      </c>
      <c r="H1683" s="1635">
        <f t="shared" si="352"/>
        <v>19800</v>
      </c>
      <c r="K1683" s="1636">
        <v>19800</v>
      </c>
    </row>
    <row r="1684" spans="1:11" ht="21.75" hidden="1" customHeight="1" thickBot="1">
      <c r="A1684" s="1666"/>
      <c r="B1684" s="1734" t="s">
        <v>1162</v>
      </c>
      <c r="C1684" s="1735"/>
      <c r="D1684" s="1736" t="s">
        <v>1163</v>
      </c>
      <c r="E1684" s="1737">
        <f t="shared" ref="E1684:F1687" si="365">E1685</f>
        <v>250000</v>
      </c>
      <c r="F1684" s="1737">
        <f t="shared" si="365"/>
        <v>0</v>
      </c>
      <c r="G1684" s="1738">
        <f t="shared" si="362"/>
        <v>0</v>
      </c>
      <c r="H1684" s="1635">
        <f t="shared" si="352"/>
        <v>0</v>
      </c>
    </row>
    <row r="1685" spans="1:11" ht="20.25" hidden="1" customHeight="1">
      <c r="A1685" s="1666"/>
      <c r="B1685" s="1678"/>
      <c r="C1685" s="3704" t="s">
        <v>755</v>
      </c>
      <c r="D1685" s="3705"/>
      <c r="E1685" s="2071">
        <f t="shared" si="365"/>
        <v>250000</v>
      </c>
      <c r="F1685" s="2071">
        <f t="shared" si="365"/>
        <v>0</v>
      </c>
      <c r="G1685" s="1673">
        <f t="shared" si="362"/>
        <v>0</v>
      </c>
      <c r="H1685" s="1635">
        <f t="shared" si="352"/>
        <v>0</v>
      </c>
    </row>
    <row r="1686" spans="1:11" ht="17.25" hidden="1" customHeight="1">
      <c r="A1686" s="1666"/>
      <c r="B1686" s="1678"/>
      <c r="C1686" s="3727" t="s">
        <v>756</v>
      </c>
      <c r="D1686" s="3727"/>
      <c r="E1686" s="1904">
        <f t="shared" si="365"/>
        <v>250000</v>
      </c>
      <c r="F1686" s="1904">
        <f t="shared" si="365"/>
        <v>0</v>
      </c>
      <c r="G1686" s="1905">
        <f t="shared" si="362"/>
        <v>0</v>
      </c>
      <c r="H1686" s="1635">
        <f t="shared" si="352"/>
        <v>0</v>
      </c>
    </row>
    <row r="1687" spans="1:11" ht="15.75" hidden="1" customHeight="1">
      <c r="A1687" s="1666"/>
      <c r="B1687" s="1678"/>
      <c r="C1687" s="3728" t="s">
        <v>770</v>
      </c>
      <c r="D1687" s="3728"/>
      <c r="E1687" s="1904">
        <f t="shared" si="365"/>
        <v>250000</v>
      </c>
      <c r="F1687" s="1904">
        <f t="shared" si="365"/>
        <v>0</v>
      </c>
      <c r="G1687" s="2433">
        <f t="shared" si="362"/>
        <v>0</v>
      </c>
      <c r="H1687" s="1635">
        <f t="shared" si="352"/>
        <v>0</v>
      </c>
    </row>
    <row r="1688" spans="1:11" ht="18" hidden="1" customHeight="1" thickBot="1">
      <c r="A1688" s="1666"/>
      <c r="B1688" s="1678"/>
      <c r="C1688" s="2327" t="s">
        <v>783</v>
      </c>
      <c r="D1688" s="2328" t="s">
        <v>784</v>
      </c>
      <c r="E1688" s="1904">
        <v>250000</v>
      </c>
      <c r="F1688" s="1904">
        <f>H1688</f>
        <v>0</v>
      </c>
      <c r="G1688" s="2433">
        <f t="shared" si="362"/>
        <v>0</v>
      </c>
      <c r="H1688" s="1635">
        <f t="shared" si="352"/>
        <v>0</v>
      </c>
    </row>
    <row r="1689" spans="1:11" ht="17.100000000000001" customHeight="1" thickBot="1">
      <c r="A1689" s="1666"/>
      <c r="B1689" s="1734" t="s">
        <v>97</v>
      </c>
      <c r="C1689" s="1735"/>
      <c r="D1689" s="1736" t="s">
        <v>608</v>
      </c>
      <c r="E1689" s="1737">
        <f t="shared" ref="E1689:F1690" si="366">E1690</f>
        <v>150000</v>
      </c>
      <c r="F1689" s="1737">
        <f t="shared" si="366"/>
        <v>150000</v>
      </c>
      <c r="G1689" s="1738">
        <f t="shared" si="362"/>
        <v>1</v>
      </c>
      <c r="H1689" s="1635">
        <f t="shared" si="352"/>
        <v>0</v>
      </c>
    </row>
    <row r="1690" spans="1:11" ht="17.100000000000001" customHeight="1">
      <c r="A1690" s="1666"/>
      <c r="B1690" s="3700"/>
      <c r="C1690" s="3497" t="s">
        <v>755</v>
      </c>
      <c r="D1690" s="3497"/>
      <c r="E1690" s="1672">
        <f t="shared" si="366"/>
        <v>150000</v>
      </c>
      <c r="F1690" s="1672">
        <f t="shared" si="366"/>
        <v>150000</v>
      </c>
      <c r="G1690" s="1673">
        <f t="shared" si="362"/>
        <v>1</v>
      </c>
      <c r="H1690" s="1635">
        <f t="shared" si="352"/>
        <v>0</v>
      </c>
    </row>
    <row r="1691" spans="1:11" ht="17.100000000000001" customHeight="1">
      <c r="A1691" s="1666"/>
      <c r="B1691" s="3467"/>
      <c r="C1691" s="3724" t="s">
        <v>857</v>
      </c>
      <c r="D1691" s="3724"/>
      <c r="E1691" s="1904">
        <f>SUM(E1692:E1692)</f>
        <v>150000</v>
      </c>
      <c r="F1691" s="1904">
        <f t="shared" ref="F1691" si="367">SUM(F1692:F1692)</f>
        <v>150000</v>
      </c>
      <c r="G1691" s="1905">
        <f t="shared" si="362"/>
        <v>1</v>
      </c>
      <c r="H1691" s="1635">
        <f t="shared" si="352"/>
        <v>0</v>
      </c>
    </row>
    <row r="1692" spans="1:11" ht="57.75" customHeight="1">
      <c r="A1692" s="1666"/>
      <c r="B1692" s="3729"/>
      <c r="C1692" s="2434" t="s">
        <v>409</v>
      </c>
      <c r="D1692" s="2435" t="s">
        <v>876</v>
      </c>
      <c r="E1692" s="2436">
        <v>150000</v>
      </c>
      <c r="F1692" s="2436">
        <f>H1692</f>
        <v>150000</v>
      </c>
      <c r="G1692" s="2437">
        <f t="shared" si="362"/>
        <v>1</v>
      </c>
      <c r="H1692" s="1635">
        <f t="shared" si="352"/>
        <v>150000</v>
      </c>
      <c r="K1692" s="1636">
        <v>150000</v>
      </c>
    </row>
    <row r="1693" spans="1:11" ht="17.100000000000001" customHeight="1" thickBot="1">
      <c r="A1693" s="1666"/>
      <c r="B1693" s="2438" t="s">
        <v>99</v>
      </c>
      <c r="C1693" s="2439"/>
      <c r="D1693" s="2440" t="s">
        <v>1164</v>
      </c>
      <c r="E1693" s="2441">
        <f>E1694+E1703</f>
        <v>286500</v>
      </c>
      <c r="F1693" s="2441">
        <f>F1694+F1703</f>
        <v>472500</v>
      </c>
      <c r="G1693" s="2442">
        <f t="shared" si="362"/>
        <v>1.6492146596858639</v>
      </c>
      <c r="H1693" s="1635">
        <f t="shared" si="352"/>
        <v>0</v>
      </c>
    </row>
    <row r="1694" spans="1:11" ht="17.100000000000001" customHeight="1">
      <c r="A1694" s="1666"/>
      <c r="B1694" s="1678"/>
      <c r="C1694" s="3472" t="s">
        <v>755</v>
      </c>
      <c r="D1694" s="3472"/>
      <c r="E1694" s="1672">
        <f>E1695+E1701</f>
        <v>286500</v>
      </c>
      <c r="F1694" s="1672">
        <f t="shared" ref="F1694" si="368">F1695+F1701</f>
        <v>472500</v>
      </c>
      <c r="G1694" s="1673">
        <f t="shared" si="362"/>
        <v>1.6492146596858639</v>
      </c>
      <c r="H1694" s="1635">
        <f t="shared" si="352"/>
        <v>0</v>
      </c>
    </row>
    <row r="1695" spans="1:11" ht="17.100000000000001" customHeight="1">
      <c r="A1695" s="1666"/>
      <c r="B1695" s="1678"/>
      <c r="C1695" s="3727" t="s">
        <v>756</v>
      </c>
      <c r="D1695" s="3727"/>
      <c r="E1695" s="1904">
        <f t="shared" ref="E1695:F1695" si="369">E1696</f>
        <v>35000</v>
      </c>
      <c r="F1695" s="1904">
        <f t="shared" si="369"/>
        <v>35000</v>
      </c>
      <c r="G1695" s="1905">
        <f t="shared" si="362"/>
        <v>1</v>
      </c>
      <c r="H1695" s="1635">
        <f t="shared" si="352"/>
        <v>0</v>
      </c>
    </row>
    <row r="1696" spans="1:11" ht="17.100000000000001" customHeight="1">
      <c r="A1696" s="1666"/>
      <c r="B1696" s="1678"/>
      <c r="C1696" s="3728" t="s">
        <v>770</v>
      </c>
      <c r="D1696" s="3728"/>
      <c r="E1696" s="1904">
        <f>SUM(E1697:E1699)</f>
        <v>35000</v>
      </c>
      <c r="F1696" s="1904">
        <f>SUM(F1697:F1699)</f>
        <v>35000</v>
      </c>
      <c r="G1696" s="1905">
        <f t="shared" si="362"/>
        <v>1</v>
      </c>
      <c r="H1696" s="1635">
        <f t="shared" si="352"/>
        <v>0</v>
      </c>
    </row>
    <row r="1697" spans="1:29" ht="17.100000000000001" customHeight="1">
      <c r="A1697" s="1666"/>
      <c r="B1697" s="1678"/>
      <c r="C1697" s="2443" t="s">
        <v>869</v>
      </c>
      <c r="D1697" s="2328" t="s">
        <v>839</v>
      </c>
      <c r="E1697" s="1904">
        <v>29000</v>
      </c>
      <c r="F1697" s="1904">
        <f>H1697</f>
        <v>25000</v>
      </c>
      <c r="G1697" s="1905">
        <f t="shared" si="362"/>
        <v>0.86206896551724133</v>
      </c>
      <c r="H1697" s="1635">
        <f t="shared" si="352"/>
        <v>25000</v>
      </c>
      <c r="K1697" s="1636">
        <v>25000</v>
      </c>
    </row>
    <row r="1698" spans="1:29" ht="17.100000000000001" customHeight="1">
      <c r="A1698" s="1666"/>
      <c r="B1698" s="1678"/>
      <c r="C1698" s="2343" t="s">
        <v>773</v>
      </c>
      <c r="D1698" s="2444" t="s">
        <v>774</v>
      </c>
      <c r="E1698" s="1749">
        <v>2000</v>
      </c>
      <c r="F1698" s="1904">
        <f t="shared" ref="F1698:F1699" si="370">H1698</f>
        <v>2000</v>
      </c>
      <c r="G1698" s="1905">
        <f t="shared" si="362"/>
        <v>1</v>
      </c>
      <c r="H1698" s="1635">
        <f t="shared" si="352"/>
        <v>2000</v>
      </c>
      <c r="K1698" s="1636">
        <v>2000</v>
      </c>
    </row>
    <row r="1699" spans="1:29" ht="17.100000000000001" customHeight="1">
      <c r="A1699" s="1666"/>
      <c r="B1699" s="1678"/>
      <c r="C1699" s="1846" t="s">
        <v>783</v>
      </c>
      <c r="D1699" s="1847" t="s">
        <v>784</v>
      </c>
      <c r="E1699" s="1749">
        <v>4000</v>
      </c>
      <c r="F1699" s="1904">
        <f t="shared" si="370"/>
        <v>8000</v>
      </c>
      <c r="G1699" s="1905">
        <f t="shared" si="362"/>
        <v>2</v>
      </c>
      <c r="H1699" s="1635">
        <f t="shared" si="352"/>
        <v>8000</v>
      </c>
      <c r="K1699" s="1636">
        <v>8000</v>
      </c>
    </row>
    <row r="1700" spans="1:29" ht="17.100000000000001" customHeight="1">
      <c r="A1700" s="1666"/>
      <c r="B1700" s="1678"/>
      <c r="C1700" s="2445"/>
      <c r="D1700" s="1699"/>
      <c r="E1700" s="1683"/>
      <c r="F1700" s="1683"/>
      <c r="G1700" s="1684"/>
      <c r="H1700" s="1635">
        <f t="shared" si="352"/>
        <v>0</v>
      </c>
    </row>
    <row r="1701" spans="1:29" ht="17.100000000000001" customHeight="1">
      <c r="A1701" s="1666"/>
      <c r="B1701" s="1678"/>
      <c r="C1701" s="3730" t="s">
        <v>857</v>
      </c>
      <c r="D1701" s="3731"/>
      <c r="E1701" s="2446">
        <f t="shared" ref="E1701:F1701" si="371">SUM(E1702:E1702)</f>
        <v>251500</v>
      </c>
      <c r="F1701" s="2446">
        <f t="shared" si="371"/>
        <v>437500</v>
      </c>
      <c r="G1701" s="2447">
        <f t="shared" si="362"/>
        <v>1.7395626242544731</v>
      </c>
      <c r="H1701" s="1635">
        <f t="shared" si="352"/>
        <v>0</v>
      </c>
    </row>
    <row r="1702" spans="1:29" ht="54" customHeight="1" thickBot="1">
      <c r="A1702" s="1792"/>
      <c r="B1702" s="3183"/>
      <c r="C1702" s="3097" t="s">
        <v>409</v>
      </c>
      <c r="D1702" s="3082" t="s">
        <v>876</v>
      </c>
      <c r="E1702" s="3098">
        <v>251500</v>
      </c>
      <c r="F1702" s="3098">
        <f>H1702</f>
        <v>437500</v>
      </c>
      <c r="G1702" s="2437">
        <f t="shared" si="362"/>
        <v>1.7395626242544731</v>
      </c>
      <c r="H1702" s="1635">
        <f t="shared" si="352"/>
        <v>437500</v>
      </c>
      <c r="K1702" s="1636">
        <v>437500</v>
      </c>
    </row>
    <row r="1703" spans="1:29" ht="17.25" hidden="1" customHeight="1">
      <c r="A1703" s="2288"/>
      <c r="B1703" s="3582"/>
      <c r="C1703" s="3472" t="s">
        <v>810</v>
      </c>
      <c r="D1703" s="3472"/>
      <c r="E1703" s="1822">
        <f>E1704</f>
        <v>0</v>
      </c>
      <c r="F1703" s="1822">
        <f t="shared" ref="F1703:F1704" si="372">F1704</f>
        <v>0</v>
      </c>
      <c r="G1703" s="1891" t="e">
        <f t="shared" si="362"/>
        <v>#DIV/0!</v>
      </c>
      <c r="H1703" s="1635">
        <f t="shared" si="352"/>
        <v>0</v>
      </c>
    </row>
    <row r="1704" spans="1:29" ht="17.25" hidden="1" customHeight="1">
      <c r="A1704" s="2288"/>
      <c r="B1704" s="3582"/>
      <c r="C1704" s="3724" t="s">
        <v>811</v>
      </c>
      <c r="D1704" s="3724"/>
      <c r="E1704" s="2323">
        <f>E1705</f>
        <v>0</v>
      </c>
      <c r="F1704" s="2323">
        <f t="shared" si="372"/>
        <v>0</v>
      </c>
      <c r="G1704" s="2324" t="e">
        <f t="shared" si="362"/>
        <v>#DIV/0!</v>
      </c>
      <c r="H1704" s="1635">
        <f t="shared" si="352"/>
        <v>0</v>
      </c>
    </row>
    <row r="1705" spans="1:29" ht="40.5" hidden="1" customHeight="1" thickBot="1">
      <c r="A1705" s="2288"/>
      <c r="B1705" s="3582"/>
      <c r="C1705" s="2448" t="s">
        <v>1006</v>
      </c>
      <c r="D1705" s="2449" t="s">
        <v>1007</v>
      </c>
      <c r="E1705" s="2323"/>
      <c r="F1705" s="2323">
        <f>H1705</f>
        <v>0</v>
      </c>
      <c r="G1705" s="2324" t="e">
        <f t="shared" si="362"/>
        <v>#DIV/0!</v>
      </c>
      <c r="H1705" s="1635">
        <f t="shared" si="352"/>
        <v>0</v>
      </c>
    </row>
    <row r="1706" spans="1:29" ht="27.75" customHeight="1" thickBot="1">
      <c r="A1706" s="1666"/>
      <c r="B1706" s="1734" t="s">
        <v>46</v>
      </c>
      <c r="C1706" s="1735"/>
      <c r="D1706" s="1736" t="s">
        <v>26</v>
      </c>
      <c r="E1706" s="1737">
        <f t="shared" ref="E1706:F1709" si="373">E1707</f>
        <v>15000</v>
      </c>
      <c r="F1706" s="1737">
        <f t="shared" si="373"/>
        <v>10000</v>
      </c>
      <c r="G1706" s="1738">
        <f t="shared" si="362"/>
        <v>0.66666666666666663</v>
      </c>
      <c r="H1706" s="1635">
        <f t="shared" si="352"/>
        <v>0</v>
      </c>
    </row>
    <row r="1707" spans="1:29" ht="17.100000000000001" customHeight="1">
      <c r="A1707" s="1666"/>
      <c r="B1707" s="3467"/>
      <c r="C1707" s="3472" t="s">
        <v>755</v>
      </c>
      <c r="D1707" s="3472"/>
      <c r="E1707" s="1672">
        <f t="shared" si="373"/>
        <v>15000</v>
      </c>
      <c r="F1707" s="1672">
        <f t="shared" si="373"/>
        <v>10000</v>
      </c>
      <c r="G1707" s="1673">
        <f t="shared" si="362"/>
        <v>0.66666666666666663</v>
      </c>
      <c r="H1707" s="1635">
        <f t="shared" si="352"/>
        <v>0</v>
      </c>
    </row>
    <row r="1708" spans="1:29" ht="17.100000000000001" customHeight="1">
      <c r="A1708" s="1666"/>
      <c r="B1708" s="3467"/>
      <c r="C1708" s="3727" t="s">
        <v>756</v>
      </c>
      <c r="D1708" s="3727"/>
      <c r="E1708" s="1904">
        <f t="shared" si="373"/>
        <v>15000</v>
      </c>
      <c r="F1708" s="1904">
        <f t="shared" si="373"/>
        <v>10000</v>
      </c>
      <c r="G1708" s="1905">
        <f t="shared" si="362"/>
        <v>0.66666666666666663</v>
      </c>
      <c r="H1708" s="1635">
        <f t="shared" si="352"/>
        <v>0</v>
      </c>
    </row>
    <row r="1709" spans="1:29" ht="17.100000000000001" customHeight="1">
      <c r="A1709" s="1666"/>
      <c r="B1709" s="3467"/>
      <c r="C1709" s="3728" t="s">
        <v>770</v>
      </c>
      <c r="D1709" s="3728"/>
      <c r="E1709" s="1904">
        <f t="shared" si="373"/>
        <v>15000</v>
      </c>
      <c r="F1709" s="1904">
        <f t="shared" si="373"/>
        <v>10000</v>
      </c>
      <c r="G1709" s="1905">
        <f t="shared" si="362"/>
        <v>0.66666666666666663</v>
      </c>
      <c r="H1709" s="1635">
        <f t="shared" si="352"/>
        <v>0</v>
      </c>
    </row>
    <row r="1710" spans="1:29" ht="17.100000000000001" customHeight="1" thickBot="1">
      <c r="A1710" s="1666"/>
      <c r="B1710" s="3467"/>
      <c r="C1710" s="2430" t="s">
        <v>1165</v>
      </c>
      <c r="D1710" s="2431" t="s">
        <v>1166</v>
      </c>
      <c r="E1710" s="2432">
        <v>15000</v>
      </c>
      <c r="F1710" s="2432">
        <f>H1710</f>
        <v>10000</v>
      </c>
      <c r="G1710" s="2433">
        <f t="shared" si="362"/>
        <v>0.66666666666666663</v>
      </c>
      <c r="H1710" s="1635">
        <f t="shared" si="352"/>
        <v>10000</v>
      </c>
      <c r="AC1710" s="1636">
        <v>10000</v>
      </c>
    </row>
    <row r="1711" spans="1:29" ht="17.100000000000001" customHeight="1" thickBot="1">
      <c r="A1711" s="1666"/>
      <c r="B1711" s="1734" t="s">
        <v>81</v>
      </c>
      <c r="C1711" s="1735"/>
      <c r="D1711" s="1736" t="s">
        <v>82</v>
      </c>
      <c r="E1711" s="1737">
        <f>E1712</f>
        <v>13233753</v>
      </c>
      <c r="F1711" s="1737">
        <f>F1712</f>
        <v>19736691</v>
      </c>
      <c r="G1711" s="1738">
        <f t="shared" si="362"/>
        <v>1.4913903108211253</v>
      </c>
      <c r="H1711" s="1635">
        <f t="shared" si="352"/>
        <v>0</v>
      </c>
    </row>
    <row r="1712" spans="1:29" ht="17.100000000000001" customHeight="1">
      <c r="A1712" s="1666"/>
      <c r="B1712" s="1698"/>
      <c r="C1712" s="3472" t="s">
        <v>755</v>
      </c>
      <c r="D1712" s="3472"/>
      <c r="E1712" s="1904">
        <f>E1713</f>
        <v>13233753</v>
      </c>
      <c r="F1712" s="1904">
        <f>F1713</f>
        <v>19736691</v>
      </c>
      <c r="G1712" s="1673">
        <f t="shared" si="362"/>
        <v>1.4913903108211253</v>
      </c>
      <c r="H1712" s="1635">
        <f t="shared" si="352"/>
        <v>0</v>
      </c>
    </row>
    <row r="1713" spans="1:11" ht="17.100000000000001" customHeight="1">
      <c r="A1713" s="1666"/>
      <c r="B1713" s="1698"/>
      <c r="C1713" s="3727" t="s">
        <v>756</v>
      </c>
      <c r="D1713" s="3727"/>
      <c r="E1713" s="1904">
        <f>E1714+E1719</f>
        <v>13233753</v>
      </c>
      <c r="F1713" s="1904">
        <f>F1714+F1719</f>
        <v>19736691</v>
      </c>
      <c r="G1713" s="1905">
        <f t="shared" si="362"/>
        <v>1.4913903108211253</v>
      </c>
      <c r="H1713" s="1635">
        <f t="shared" si="352"/>
        <v>0</v>
      </c>
    </row>
    <row r="1714" spans="1:11" ht="17.100000000000001" hidden="1" customHeight="1">
      <c r="A1714" s="1666"/>
      <c r="B1714" s="1698"/>
      <c r="C1714" s="3743" t="s">
        <v>757</v>
      </c>
      <c r="D1714" s="3743"/>
      <c r="E1714" s="1904">
        <f>SUM(E1715:E1717)</f>
        <v>21279</v>
      </c>
      <c r="F1714" s="1904">
        <f>SUM(F1715:F1717)</f>
        <v>0</v>
      </c>
      <c r="G1714" s="1905">
        <f t="shared" si="362"/>
        <v>0</v>
      </c>
      <c r="H1714" s="1635">
        <f t="shared" si="352"/>
        <v>0</v>
      </c>
    </row>
    <row r="1715" spans="1:11" ht="17.100000000000001" hidden="1" customHeight="1">
      <c r="A1715" s="1666"/>
      <c r="B1715" s="1698"/>
      <c r="C1715" s="2327" t="s">
        <v>758</v>
      </c>
      <c r="D1715" s="2328" t="s">
        <v>759</v>
      </c>
      <c r="E1715" s="1904">
        <v>17786</v>
      </c>
      <c r="F1715" s="1904">
        <f>H1715</f>
        <v>0</v>
      </c>
      <c r="G1715" s="1905">
        <f t="shared" si="362"/>
        <v>0</v>
      </c>
      <c r="H1715" s="1635">
        <f t="shared" si="352"/>
        <v>0</v>
      </c>
    </row>
    <row r="1716" spans="1:11" ht="17.100000000000001" hidden="1" customHeight="1">
      <c r="A1716" s="1666"/>
      <c r="B1716" s="1698"/>
      <c r="C1716" s="2327" t="s">
        <v>762</v>
      </c>
      <c r="D1716" s="2431" t="s">
        <v>763</v>
      </c>
      <c r="E1716" s="1904">
        <v>3057</v>
      </c>
      <c r="F1716" s="1904">
        <f t="shared" ref="F1716:F1717" si="374">H1716</f>
        <v>0</v>
      </c>
      <c r="G1716" s="1905">
        <f t="shared" si="362"/>
        <v>0</v>
      </c>
      <c r="H1716" s="1635">
        <f t="shared" si="352"/>
        <v>0</v>
      </c>
    </row>
    <row r="1717" spans="1:11" ht="26.25" hidden="1" customHeight="1">
      <c r="A1717" s="1666"/>
      <c r="B1717" s="1698"/>
      <c r="C1717" s="2327" t="s">
        <v>764</v>
      </c>
      <c r="D1717" s="2450" t="s">
        <v>765</v>
      </c>
      <c r="E1717" s="1904">
        <v>436</v>
      </c>
      <c r="F1717" s="1904">
        <f t="shared" si="374"/>
        <v>0</v>
      </c>
      <c r="G1717" s="1905">
        <f t="shared" si="362"/>
        <v>0</v>
      </c>
      <c r="H1717" s="1635">
        <f t="shared" si="352"/>
        <v>0</v>
      </c>
    </row>
    <row r="1718" spans="1:11" ht="17.100000000000001" hidden="1" customHeight="1">
      <c r="A1718" s="1666"/>
      <c r="B1718" s="1698"/>
      <c r="C1718" s="1706"/>
      <c r="D1718" s="1707"/>
      <c r="E1718" s="1904"/>
      <c r="F1718" s="1904"/>
      <c r="G1718" s="1904"/>
      <c r="H1718" s="1635">
        <f t="shared" si="352"/>
        <v>0</v>
      </c>
    </row>
    <row r="1719" spans="1:11" ht="17.100000000000001" customHeight="1">
      <c r="A1719" s="1666"/>
      <c r="B1719" s="1698"/>
      <c r="C1719" s="3744" t="s">
        <v>770</v>
      </c>
      <c r="D1719" s="3744"/>
      <c r="E1719" s="1904">
        <f>E1720</f>
        <v>13212474</v>
      </c>
      <c r="F1719" s="1904">
        <f>F1720</f>
        <v>19736691</v>
      </c>
      <c r="G1719" s="1905">
        <f t="shared" si="362"/>
        <v>1.4937922299790334</v>
      </c>
      <c r="H1719" s="1635">
        <f t="shared" si="352"/>
        <v>0</v>
      </c>
    </row>
    <row r="1720" spans="1:11" ht="17.100000000000001" customHeight="1" thickBot="1">
      <c r="A1720" s="1666"/>
      <c r="B1720" s="1698"/>
      <c r="C1720" s="2327" t="s">
        <v>1167</v>
      </c>
      <c r="D1720" s="2451" t="s">
        <v>1168</v>
      </c>
      <c r="E1720" s="1904">
        <v>13212474</v>
      </c>
      <c r="F1720" s="1904">
        <f>H1720</f>
        <v>19736691</v>
      </c>
      <c r="G1720" s="1905">
        <f t="shared" si="362"/>
        <v>1.4937922299790334</v>
      </c>
      <c r="H1720" s="1635">
        <f t="shared" si="352"/>
        <v>19736691</v>
      </c>
      <c r="K1720" s="1636">
        <v>19736691</v>
      </c>
    </row>
    <row r="1721" spans="1:11" ht="17.100000000000001" customHeight="1" thickBot="1">
      <c r="A1721" s="1666"/>
      <c r="B1721" s="1734" t="s">
        <v>48</v>
      </c>
      <c r="C1721" s="1735"/>
      <c r="D1721" s="1736" t="s">
        <v>11</v>
      </c>
      <c r="E1721" s="1737">
        <f>SUM(E1722,E1739)</f>
        <v>22262499</v>
      </c>
      <c r="F1721" s="1737">
        <f>SUM(F1722,F1739)</f>
        <v>138734</v>
      </c>
      <c r="G1721" s="1738">
        <f t="shared" si="362"/>
        <v>6.2317352602688494E-3</v>
      </c>
      <c r="H1721" s="1635">
        <f t="shared" si="352"/>
        <v>0</v>
      </c>
    </row>
    <row r="1722" spans="1:11" ht="17.100000000000001" customHeight="1">
      <c r="A1722" s="1666"/>
      <c r="B1722" s="1698"/>
      <c r="C1722" s="3472" t="s">
        <v>755</v>
      </c>
      <c r="D1722" s="3472"/>
      <c r="E1722" s="1672">
        <f>E1723+E1730+E1734</f>
        <v>4183567</v>
      </c>
      <c r="F1722" s="1672">
        <f>F1723+F1730+F1734</f>
        <v>138734</v>
      </c>
      <c r="G1722" s="1673">
        <f t="shared" si="362"/>
        <v>3.3161653679742671E-2</v>
      </c>
      <c r="H1722" s="1635">
        <f t="shared" si="352"/>
        <v>0</v>
      </c>
    </row>
    <row r="1723" spans="1:11" ht="17.100000000000001" customHeight="1">
      <c r="A1723" s="1666"/>
      <c r="B1723" s="1678"/>
      <c r="C1723" s="3727" t="s">
        <v>756</v>
      </c>
      <c r="D1723" s="3727"/>
      <c r="E1723" s="2436">
        <f t="shared" ref="E1723:F1723" si="375">E1724+E1727</f>
        <v>76680</v>
      </c>
      <c r="F1723" s="2436">
        <f t="shared" si="375"/>
        <v>48734</v>
      </c>
      <c r="G1723" s="2437">
        <f t="shared" si="362"/>
        <v>0.63555033907146585</v>
      </c>
      <c r="H1723" s="1635">
        <f t="shared" si="352"/>
        <v>0</v>
      </c>
    </row>
    <row r="1724" spans="1:11" ht="17.100000000000001" customHeight="1">
      <c r="A1724" s="1666"/>
      <c r="B1724" s="1678"/>
      <c r="C1724" s="3743" t="s">
        <v>757</v>
      </c>
      <c r="D1724" s="3743"/>
      <c r="E1724" s="2436">
        <f t="shared" ref="E1724:F1724" si="376">SUM(E1725:E1725)</f>
        <v>64680</v>
      </c>
      <c r="F1724" s="2436">
        <f t="shared" si="376"/>
        <v>43874</v>
      </c>
      <c r="G1724" s="2437">
        <f t="shared" si="362"/>
        <v>0.67832405689548547</v>
      </c>
      <c r="H1724" s="1635">
        <f t="shared" si="352"/>
        <v>0</v>
      </c>
    </row>
    <row r="1725" spans="1:11" ht="14.25" customHeight="1">
      <c r="A1725" s="1666"/>
      <c r="B1725" s="1678"/>
      <c r="C1725" s="2327" t="s">
        <v>766</v>
      </c>
      <c r="D1725" s="2328" t="s">
        <v>767</v>
      </c>
      <c r="E1725" s="2452">
        <v>64680</v>
      </c>
      <c r="F1725" s="2452">
        <f>H1725</f>
        <v>43874</v>
      </c>
      <c r="G1725" s="2453">
        <f t="shared" si="362"/>
        <v>0.67832405689548547</v>
      </c>
      <c r="H1725" s="1635">
        <f t="shared" ref="H1725:H1805" si="377">SUM(I1725:AE1725)</f>
        <v>43874</v>
      </c>
      <c r="K1725" s="1636">
        <v>43874</v>
      </c>
    </row>
    <row r="1726" spans="1:11" ht="13.5" customHeight="1">
      <c r="A1726" s="1666"/>
      <c r="B1726" s="1678"/>
      <c r="C1726" s="1699"/>
      <c r="D1726" s="1699"/>
      <c r="E1726" s="1683"/>
      <c r="F1726" s="1683"/>
      <c r="G1726" s="1684"/>
      <c r="H1726" s="1635">
        <f t="shared" si="377"/>
        <v>0</v>
      </c>
    </row>
    <row r="1727" spans="1:11" ht="17.100000000000001" customHeight="1">
      <c r="A1727" s="1666"/>
      <c r="B1727" s="1678"/>
      <c r="C1727" s="3744" t="s">
        <v>770</v>
      </c>
      <c r="D1727" s="3744"/>
      <c r="E1727" s="2323">
        <f>SUM(E1728:E1728)</f>
        <v>12000</v>
      </c>
      <c r="F1727" s="2323">
        <f t="shared" ref="F1727" si="378">SUM(F1728:F1728)</f>
        <v>4860</v>
      </c>
      <c r="G1727" s="2324">
        <f t="shared" si="362"/>
        <v>0.40500000000000003</v>
      </c>
      <c r="H1727" s="1635">
        <f t="shared" si="377"/>
        <v>0</v>
      </c>
    </row>
    <row r="1728" spans="1:11" ht="12.75" customHeight="1">
      <c r="A1728" s="1666"/>
      <c r="B1728" s="1678"/>
      <c r="C1728" s="2347" t="s">
        <v>783</v>
      </c>
      <c r="D1728" s="2450" t="s">
        <v>784</v>
      </c>
      <c r="E1728" s="1904">
        <v>12000</v>
      </c>
      <c r="F1728" s="1904">
        <f>H1728</f>
        <v>4860</v>
      </c>
      <c r="G1728" s="1905">
        <f t="shared" si="362"/>
        <v>0.40500000000000003</v>
      </c>
      <c r="H1728" s="1635">
        <f t="shared" si="377"/>
        <v>4860</v>
      </c>
      <c r="K1728" s="1636">
        <v>4860</v>
      </c>
    </row>
    <row r="1729" spans="1:11" ht="15" customHeight="1">
      <c r="A1729" s="1666"/>
      <c r="B1729" s="1678"/>
      <c r="C1729" s="3732"/>
      <c r="D1729" s="3733"/>
      <c r="E1729" s="1688"/>
      <c r="F1729" s="1688"/>
      <c r="G1729" s="2437"/>
      <c r="H1729" s="1635">
        <f t="shared" si="377"/>
        <v>0</v>
      </c>
    </row>
    <row r="1730" spans="1:11" ht="15" customHeight="1">
      <c r="A1730" s="1666"/>
      <c r="B1730" s="1678"/>
      <c r="C1730" s="3734" t="s">
        <v>857</v>
      </c>
      <c r="D1730" s="3735"/>
      <c r="E1730" s="2436">
        <f>E1731+E1732</f>
        <v>14859</v>
      </c>
      <c r="F1730" s="2436">
        <f>F1731+F1732</f>
        <v>90000</v>
      </c>
      <c r="G1730" s="2437">
        <f t="shared" si="362"/>
        <v>6.0569351907934585</v>
      </c>
      <c r="H1730" s="1635">
        <f t="shared" si="377"/>
        <v>0</v>
      </c>
    </row>
    <row r="1731" spans="1:11" ht="51" customHeight="1" thickBot="1">
      <c r="A1731" s="1666"/>
      <c r="B1731" s="1678"/>
      <c r="C1731" s="2454" t="s">
        <v>409</v>
      </c>
      <c r="D1731" s="2455" t="s">
        <v>876</v>
      </c>
      <c r="E1731" s="2456">
        <v>10000</v>
      </c>
      <c r="F1731" s="2456">
        <f>H1731</f>
        <v>90000</v>
      </c>
      <c r="G1731" s="2457">
        <f t="shared" si="362"/>
        <v>9</v>
      </c>
      <c r="H1731" s="1635">
        <f t="shared" si="377"/>
        <v>90000</v>
      </c>
      <c r="K1731" s="1636">
        <v>90000</v>
      </c>
    </row>
    <row r="1732" spans="1:11" ht="41.25" hidden="1" customHeight="1">
      <c r="A1732" s="1666"/>
      <c r="B1732" s="1678"/>
      <c r="C1732" s="2458" t="s">
        <v>1154</v>
      </c>
      <c r="D1732" s="2459" t="s">
        <v>1155</v>
      </c>
      <c r="E1732" s="2460">
        <v>4859</v>
      </c>
      <c r="F1732" s="2460">
        <f>H1732</f>
        <v>0</v>
      </c>
      <c r="G1732" s="2461">
        <f t="shared" si="362"/>
        <v>0</v>
      </c>
      <c r="H1732" s="1635">
        <f t="shared" si="377"/>
        <v>0</v>
      </c>
    </row>
    <row r="1733" spans="1:11" ht="13.5" hidden="1" customHeight="1">
      <c r="A1733" s="1666"/>
      <c r="B1733" s="1678"/>
      <c r="C1733" s="3736"/>
      <c r="D1733" s="3737"/>
      <c r="E1733" s="1688"/>
      <c r="F1733" s="1688"/>
      <c r="G1733" s="1689"/>
      <c r="H1733" s="1635">
        <f t="shared" si="377"/>
        <v>0</v>
      </c>
    </row>
    <row r="1734" spans="1:11" ht="15" hidden="1" customHeight="1">
      <c r="A1734" s="1666"/>
      <c r="B1734" s="1678"/>
      <c r="C1734" s="3738" t="s">
        <v>825</v>
      </c>
      <c r="D1734" s="3739"/>
      <c r="E1734" s="2460">
        <f>SUM(E1735:E1737)</f>
        <v>4092028</v>
      </c>
      <c r="F1734" s="2460">
        <f>SUM(F1735:F1737)</f>
        <v>0</v>
      </c>
      <c r="G1734" s="2461">
        <f t="shared" si="362"/>
        <v>0</v>
      </c>
      <c r="H1734" s="1635">
        <f t="shared" si="377"/>
        <v>0</v>
      </c>
    </row>
    <row r="1735" spans="1:11" ht="54" hidden="1" customHeight="1">
      <c r="A1735" s="1666"/>
      <c r="B1735" s="1678"/>
      <c r="C1735" s="2462" t="s">
        <v>489</v>
      </c>
      <c r="D1735" s="2463" t="s">
        <v>1169</v>
      </c>
      <c r="E1735" s="2460">
        <v>4011820</v>
      </c>
      <c r="F1735" s="2460">
        <f>H1735</f>
        <v>0</v>
      </c>
      <c r="G1735" s="2461">
        <f t="shared" si="362"/>
        <v>0</v>
      </c>
      <c r="H1735" s="1635">
        <f t="shared" si="377"/>
        <v>0</v>
      </c>
    </row>
    <row r="1736" spans="1:11" ht="17.25" hidden="1" customHeight="1">
      <c r="A1736" s="1666"/>
      <c r="B1736" s="1678"/>
      <c r="C1736" s="2462" t="s">
        <v>637</v>
      </c>
      <c r="D1736" s="1770" t="s">
        <v>886</v>
      </c>
      <c r="E1736" s="2460">
        <v>18458</v>
      </c>
      <c r="F1736" s="2460">
        <f t="shared" ref="F1736:F1737" si="379">H1736</f>
        <v>0</v>
      </c>
      <c r="G1736" s="2461">
        <f t="shared" si="362"/>
        <v>0</v>
      </c>
      <c r="H1736" s="1635">
        <f t="shared" si="377"/>
        <v>0</v>
      </c>
    </row>
    <row r="1737" spans="1:11" ht="15.75" hidden="1" customHeight="1">
      <c r="A1737" s="1666"/>
      <c r="B1737" s="1678"/>
      <c r="C1737" s="2462" t="s">
        <v>891</v>
      </c>
      <c r="D1737" s="2464" t="s">
        <v>774</v>
      </c>
      <c r="E1737" s="2465">
        <v>61750</v>
      </c>
      <c r="F1737" s="2465">
        <f t="shared" si="379"/>
        <v>0</v>
      </c>
      <c r="G1737" s="2466">
        <f t="shared" si="362"/>
        <v>0</v>
      </c>
      <c r="H1737" s="1635">
        <f t="shared" si="377"/>
        <v>0</v>
      </c>
    </row>
    <row r="1738" spans="1:11" ht="13.5" hidden="1" customHeight="1">
      <c r="A1738" s="1666"/>
      <c r="B1738" s="1678"/>
      <c r="C1738" s="3740"/>
      <c r="D1738" s="3741"/>
      <c r="E1738" s="1688"/>
      <c r="F1738" s="1688"/>
      <c r="G1738" s="2466"/>
      <c r="H1738" s="1635">
        <f t="shared" si="377"/>
        <v>0</v>
      </c>
    </row>
    <row r="1739" spans="1:11" ht="18.75" hidden="1" customHeight="1">
      <c r="A1739" s="1666"/>
      <c r="B1739" s="1678"/>
      <c r="C1739" s="3742" t="s">
        <v>810</v>
      </c>
      <c r="D1739" s="3742"/>
      <c r="E1739" s="2467">
        <f>E1740</f>
        <v>18078932</v>
      </c>
      <c r="F1739" s="2467">
        <f>F1740</f>
        <v>0</v>
      </c>
      <c r="G1739" s="2468">
        <f t="shared" si="362"/>
        <v>0</v>
      </c>
      <c r="H1739" s="1635">
        <f t="shared" si="377"/>
        <v>0</v>
      </c>
    </row>
    <row r="1740" spans="1:11" ht="15.75" hidden="1" customHeight="1">
      <c r="A1740" s="1666"/>
      <c r="B1740" s="1678"/>
      <c r="C1740" s="3486" t="s">
        <v>811</v>
      </c>
      <c r="D1740" s="3557"/>
      <c r="E1740" s="2465">
        <f>SUM(E1741:E1742)</f>
        <v>18078932</v>
      </c>
      <c r="F1740" s="2465">
        <f>SUM(F1741:F1742)</f>
        <v>0</v>
      </c>
      <c r="G1740" s="2466">
        <f t="shared" si="362"/>
        <v>0</v>
      </c>
      <c r="H1740" s="1635">
        <f t="shared" si="377"/>
        <v>0</v>
      </c>
    </row>
    <row r="1741" spans="1:11" ht="57" hidden="1" customHeight="1">
      <c r="A1741" s="1666"/>
      <c r="B1741" s="1678"/>
      <c r="C1741" s="2469" t="s">
        <v>898</v>
      </c>
      <c r="D1741" s="2470" t="s">
        <v>899</v>
      </c>
      <c r="E1741" s="2465">
        <v>16328354</v>
      </c>
      <c r="F1741" s="2465">
        <f>H1741</f>
        <v>0</v>
      </c>
      <c r="G1741" s="2466">
        <f t="shared" si="362"/>
        <v>0</v>
      </c>
      <c r="H1741" s="1635">
        <f t="shared" si="377"/>
        <v>0</v>
      </c>
    </row>
    <row r="1742" spans="1:11" ht="27.75" hidden="1" customHeight="1">
      <c r="A1742" s="1666"/>
      <c r="B1742" s="1678"/>
      <c r="C1742" s="2469" t="s">
        <v>906</v>
      </c>
      <c r="D1742" s="2471" t="s">
        <v>1010</v>
      </c>
      <c r="E1742" s="2465">
        <v>1750578</v>
      </c>
      <c r="F1742" s="2465">
        <f>H1742</f>
        <v>0</v>
      </c>
      <c r="G1742" s="2466">
        <f t="shared" si="362"/>
        <v>0</v>
      </c>
      <c r="H1742" s="1635">
        <f t="shared" si="377"/>
        <v>0</v>
      </c>
    </row>
    <row r="1743" spans="1:11" ht="12.75" hidden="1" customHeight="1">
      <c r="A1743" s="1666"/>
      <c r="B1743" s="1678"/>
      <c r="C1743" s="2469"/>
      <c r="D1743" s="1770"/>
      <c r="E1743" s="2465"/>
      <c r="F1743" s="2465"/>
      <c r="G1743" s="2466"/>
      <c r="H1743" s="1635">
        <f t="shared" si="377"/>
        <v>0</v>
      </c>
    </row>
    <row r="1744" spans="1:11" ht="16.5" hidden="1" customHeight="1">
      <c r="A1744" s="1666"/>
      <c r="B1744" s="1678"/>
      <c r="C1744" s="3748" t="s">
        <v>823</v>
      </c>
      <c r="D1744" s="3749"/>
      <c r="E1744" s="1688">
        <f>SUM(E1745:E1746)</f>
        <v>18078932</v>
      </c>
      <c r="F1744" s="1688">
        <f>SUM(F1745:F1746)</f>
        <v>0</v>
      </c>
      <c r="G1744" s="2466">
        <f t="shared" si="362"/>
        <v>0</v>
      </c>
      <c r="H1744" s="1635">
        <f t="shared" si="377"/>
        <v>0</v>
      </c>
    </row>
    <row r="1745" spans="1:11" ht="55.5" hidden="1" customHeight="1">
      <c r="A1745" s="1666"/>
      <c r="B1745" s="1678"/>
      <c r="C1745" s="2469" t="s">
        <v>898</v>
      </c>
      <c r="D1745" s="2470" t="s">
        <v>899</v>
      </c>
      <c r="E1745" s="2465">
        <v>16328354</v>
      </c>
      <c r="F1745" s="2465">
        <f>H1745</f>
        <v>0</v>
      </c>
      <c r="G1745" s="2466">
        <f t="shared" si="362"/>
        <v>0</v>
      </c>
      <c r="H1745" s="1635">
        <f t="shared" si="377"/>
        <v>0</v>
      </c>
    </row>
    <row r="1746" spans="1:11" ht="26.25" hidden="1" customHeight="1" thickBot="1">
      <c r="A1746" s="1666"/>
      <c r="B1746" s="1678"/>
      <c r="C1746" s="2469" t="s">
        <v>906</v>
      </c>
      <c r="D1746" s="2471" t="s">
        <v>1010</v>
      </c>
      <c r="E1746" s="2465">
        <v>1750578</v>
      </c>
      <c r="F1746" s="2465">
        <f>H1746</f>
        <v>0</v>
      </c>
      <c r="G1746" s="2466">
        <f t="shared" si="362"/>
        <v>0</v>
      </c>
      <c r="H1746" s="1635">
        <f t="shared" si="377"/>
        <v>0</v>
      </c>
    </row>
    <row r="1747" spans="1:11" ht="17.100000000000001" customHeight="1" thickBot="1">
      <c r="A1747" s="1660" t="s">
        <v>102</v>
      </c>
      <c r="B1747" s="1661"/>
      <c r="C1747" s="1662"/>
      <c r="D1747" s="1663" t="s">
        <v>1170</v>
      </c>
      <c r="E1747" s="1664">
        <f>SUM(E1748,E1752,E1759,E1824,E1816,E1820)</f>
        <v>24668377</v>
      </c>
      <c r="F1747" s="1664">
        <f>SUM(F1748,F1752,F1759,F1824,F1816)</f>
        <v>22220943</v>
      </c>
      <c r="G1747" s="1665">
        <f t="shared" si="362"/>
        <v>0.900786581946595</v>
      </c>
      <c r="H1747" s="1635">
        <f t="shared" si="377"/>
        <v>0</v>
      </c>
    </row>
    <row r="1748" spans="1:11" ht="17.100000000000001" customHeight="1" thickBot="1">
      <c r="A1748" s="2288"/>
      <c r="B1748" s="2132" t="s">
        <v>103</v>
      </c>
      <c r="C1748" s="2133"/>
      <c r="D1748" s="2134" t="s">
        <v>619</v>
      </c>
      <c r="E1748" s="1737">
        <f t="shared" ref="E1748:F1749" si="380">E1749</f>
        <v>200000</v>
      </c>
      <c r="F1748" s="1737">
        <f t="shared" si="380"/>
        <v>200000</v>
      </c>
      <c r="G1748" s="1738">
        <f t="shared" si="362"/>
        <v>1</v>
      </c>
      <c r="H1748" s="1635">
        <f t="shared" si="377"/>
        <v>0</v>
      </c>
    </row>
    <row r="1749" spans="1:11" ht="17.100000000000001" customHeight="1">
      <c r="A1749" s="2288"/>
      <c r="B1749" s="3582"/>
      <c r="C1749" s="3472" t="s">
        <v>755</v>
      </c>
      <c r="D1749" s="3472"/>
      <c r="E1749" s="1672">
        <f>E1750</f>
        <v>200000</v>
      </c>
      <c r="F1749" s="1672">
        <f t="shared" si="380"/>
        <v>200000</v>
      </c>
      <c r="G1749" s="1673">
        <f t="shared" si="362"/>
        <v>1</v>
      </c>
      <c r="H1749" s="1635">
        <f t="shared" si="377"/>
        <v>0</v>
      </c>
    </row>
    <row r="1750" spans="1:11" ht="17.100000000000001" customHeight="1">
      <c r="A1750" s="2288"/>
      <c r="B1750" s="3582"/>
      <c r="C1750" s="3727" t="s">
        <v>857</v>
      </c>
      <c r="D1750" s="3727"/>
      <c r="E1750" s="2465">
        <f>SUM(E1751:E1751)</f>
        <v>200000</v>
      </c>
      <c r="F1750" s="2465">
        <f t="shared" ref="F1750" si="381">SUM(F1751:F1751)</f>
        <v>200000</v>
      </c>
      <c r="G1750" s="2466">
        <f t="shared" si="362"/>
        <v>1</v>
      </c>
      <c r="H1750" s="1635">
        <f t="shared" si="377"/>
        <v>0</v>
      </c>
    </row>
    <row r="1751" spans="1:11" ht="54.75" customHeight="1" thickBot="1">
      <c r="A1751" s="2288"/>
      <c r="B1751" s="3582"/>
      <c r="C1751" s="1958" t="s">
        <v>409</v>
      </c>
      <c r="D1751" s="2472" t="s">
        <v>1171</v>
      </c>
      <c r="E1751" s="2432">
        <v>200000</v>
      </c>
      <c r="F1751" s="2432">
        <f>H1751</f>
        <v>200000</v>
      </c>
      <c r="G1751" s="2433">
        <f t="shared" si="362"/>
        <v>1</v>
      </c>
      <c r="H1751" s="1635">
        <f t="shared" si="377"/>
        <v>200000</v>
      </c>
      <c r="K1751" s="1636">
        <v>200000</v>
      </c>
    </row>
    <row r="1752" spans="1:11" ht="33.75" hidden="1" customHeight="1" thickBot="1">
      <c r="A1752" s="2288"/>
      <c r="B1752" s="2132" t="s">
        <v>1172</v>
      </c>
      <c r="C1752" s="2133"/>
      <c r="D1752" s="2134" t="s">
        <v>1173</v>
      </c>
      <c r="E1752" s="1814">
        <f>E1753+E1756</f>
        <v>450000</v>
      </c>
      <c r="F1752" s="1814">
        <f>F1753+F1756</f>
        <v>0</v>
      </c>
      <c r="G1752" s="1815">
        <f t="shared" si="362"/>
        <v>0</v>
      </c>
      <c r="H1752" s="1635">
        <f t="shared" si="377"/>
        <v>0</v>
      </c>
    </row>
    <row r="1753" spans="1:11" ht="17.100000000000001" hidden="1" customHeight="1">
      <c r="A1753" s="2288"/>
      <c r="B1753" s="3582"/>
      <c r="C1753" s="3472" t="s">
        <v>755</v>
      </c>
      <c r="D1753" s="3472"/>
      <c r="E1753" s="1672">
        <f>E1754</f>
        <v>450000</v>
      </c>
      <c r="F1753" s="1672">
        <f t="shared" ref="F1753" si="382">F1754</f>
        <v>0</v>
      </c>
      <c r="G1753" s="1673">
        <f t="shared" si="362"/>
        <v>0</v>
      </c>
      <c r="H1753" s="1635">
        <f t="shared" si="377"/>
        <v>0</v>
      </c>
    </row>
    <row r="1754" spans="1:11" ht="17.100000000000001" hidden="1" customHeight="1">
      <c r="A1754" s="2288"/>
      <c r="B1754" s="3582"/>
      <c r="C1754" s="3750" t="s">
        <v>857</v>
      </c>
      <c r="D1754" s="3750"/>
      <c r="E1754" s="2473">
        <f>SUM(E1755:E1755)</f>
        <v>450000</v>
      </c>
      <c r="F1754" s="2473">
        <f t="shared" ref="F1754" si="383">SUM(F1755:F1755)</f>
        <v>0</v>
      </c>
      <c r="G1754" s="2474">
        <f t="shared" si="362"/>
        <v>0</v>
      </c>
      <c r="H1754" s="1635">
        <f t="shared" si="377"/>
        <v>0</v>
      </c>
    </row>
    <row r="1755" spans="1:11" ht="34.5" hidden="1" customHeight="1" thickBot="1">
      <c r="A1755" s="2288"/>
      <c r="B1755" s="3582"/>
      <c r="C1755" s="2475" t="s">
        <v>394</v>
      </c>
      <c r="D1755" s="2476" t="s">
        <v>978</v>
      </c>
      <c r="E1755" s="2473">
        <v>450000</v>
      </c>
      <c r="F1755" s="2473">
        <f>H1755</f>
        <v>0</v>
      </c>
      <c r="G1755" s="2474">
        <f t="shared" si="362"/>
        <v>0</v>
      </c>
      <c r="H1755" s="1635">
        <f t="shared" si="377"/>
        <v>0</v>
      </c>
    </row>
    <row r="1756" spans="1:11" ht="17.25" hidden="1" customHeight="1">
      <c r="A1756" s="2288"/>
      <c r="B1756" s="3582"/>
      <c r="C1756" s="3472" t="s">
        <v>810</v>
      </c>
      <c r="D1756" s="3472"/>
      <c r="E1756" s="1822">
        <f>E1757</f>
        <v>0</v>
      </c>
      <c r="F1756" s="1822">
        <f t="shared" ref="F1756:F1757" si="384">F1757</f>
        <v>0</v>
      </c>
      <c r="G1756" s="1891" t="e">
        <f t="shared" si="362"/>
        <v>#DIV/0!</v>
      </c>
      <c r="H1756" s="1635">
        <f t="shared" si="377"/>
        <v>0</v>
      </c>
    </row>
    <row r="1757" spans="1:11" ht="17.25" hidden="1" customHeight="1">
      <c r="A1757" s="2288"/>
      <c r="B1757" s="3582"/>
      <c r="C1757" s="3745" t="s">
        <v>811</v>
      </c>
      <c r="D1757" s="3745"/>
      <c r="E1757" s="2477">
        <f>E1758</f>
        <v>0</v>
      </c>
      <c r="F1757" s="2477">
        <f t="shared" si="384"/>
        <v>0</v>
      </c>
      <c r="G1757" s="2478" t="e">
        <f t="shared" si="362"/>
        <v>#DIV/0!</v>
      </c>
      <c r="H1757" s="1635">
        <f t="shared" si="377"/>
        <v>0</v>
      </c>
    </row>
    <row r="1758" spans="1:11" ht="39.75" hidden="1" customHeight="1" thickBot="1">
      <c r="A1758" s="2288"/>
      <c r="B1758" s="3582"/>
      <c r="C1758" s="2479" t="s">
        <v>938</v>
      </c>
      <c r="D1758" s="2480" t="s">
        <v>939</v>
      </c>
      <c r="E1758" s="2477">
        <v>0</v>
      </c>
      <c r="F1758" s="2477">
        <f>H1758</f>
        <v>0</v>
      </c>
      <c r="G1758" s="2478" t="e">
        <f t="shared" si="362"/>
        <v>#DIV/0!</v>
      </c>
      <c r="H1758" s="1635">
        <f t="shared" si="377"/>
        <v>0</v>
      </c>
    </row>
    <row r="1759" spans="1:11" ht="17.100000000000001" customHeight="1" thickBot="1">
      <c r="A1759" s="1666"/>
      <c r="B1759" s="1734" t="s">
        <v>105</v>
      </c>
      <c r="C1759" s="1735"/>
      <c r="D1759" s="1736" t="s">
        <v>622</v>
      </c>
      <c r="E1759" s="1737">
        <f>E1760+E1799</f>
        <v>5434678</v>
      </c>
      <c r="F1759" s="1737">
        <f>F1760+F1799</f>
        <v>5798639</v>
      </c>
      <c r="G1759" s="1738">
        <f t="shared" si="362"/>
        <v>1.0669701130407359</v>
      </c>
      <c r="H1759" s="1635">
        <f t="shared" si="377"/>
        <v>0</v>
      </c>
    </row>
    <row r="1760" spans="1:11" ht="17.100000000000001" customHeight="1">
      <c r="A1760" s="1666"/>
      <c r="B1760" s="1678"/>
      <c r="C1760" s="3472" t="s">
        <v>755</v>
      </c>
      <c r="D1760" s="3472"/>
      <c r="E1760" s="1672">
        <f>E1761+E1793+E1796</f>
        <v>4624179</v>
      </c>
      <c r="F1760" s="1672">
        <f>F1761+F1793+F1796</f>
        <v>5316403</v>
      </c>
      <c r="G1760" s="1673">
        <f t="shared" si="362"/>
        <v>1.1496966272283144</v>
      </c>
      <c r="H1760" s="1635">
        <f t="shared" si="377"/>
        <v>0</v>
      </c>
    </row>
    <row r="1761" spans="1:11" ht="17.100000000000001" customHeight="1">
      <c r="A1761" s="1666"/>
      <c r="B1761" s="1678"/>
      <c r="C1761" s="3746" t="s">
        <v>756</v>
      </c>
      <c r="D1761" s="3746"/>
      <c r="E1761" s="2481">
        <f t="shared" ref="E1761:F1761" si="385">E1762+E1770</f>
        <v>3696035</v>
      </c>
      <c r="F1761" s="2481">
        <f t="shared" si="385"/>
        <v>4501955</v>
      </c>
      <c r="G1761" s="2482">
        <f t="shared" si="362"/>
        <v>1.2180498831856299</v>
      </c>
      <c r="H1761" s="1635">
        <f t="shared" si="377"/>
        <v>0</v>
      </c>
    </row>
    <row r="1762" spans="1:11" ht="17.100000000000001" customHeight="1">
      <c r="A1762" s="1666"/>
      <c r="B1762" s="1678"/>
      <c r="C1762" s="3747" t="s">
        <v>757</v>
      </c>
      <c r="D1762" s="3747"/>
      <c r="E1762" s="2483">
        <f>SUM(E1763:E1768)</f>
        <v>2981685</v>
      </c>
      <c r="F1762" s="2483">
        <f>SUM(F1763:F1768)</f>
        <v>3622234</v>
      </c>
      <c r="G1762" s="2484">
        <f t="shared" si="362"/>
        <v>1.2148278574027773</v>
      </c>
      <c r="H1762" s="1635">
        <f t="shared" si="377"/>
        <v>0</v>
      </c>
    </row>
    <row r="1763" spans="1:11" ht="17.100000000000001" customHeight="1">
      <c r="A1763" s="1666"/>
      <c r="B1763" s="1678"/>
      <c r="C1763" s="2485" t="s">
        <v>758</v>
      </c>
      <c r="D1763" s="2486" t="s">
        <v>759</v>
      </c>
      <c r="E1763" s="2481">
        <v>2282367</v>
      </c>
      <c r="F1763" s="2481">
        <f>H1763</f>
        <v>2804010</v>
      </c>
      <c r="G1763" s="2482">
        <f t="shared" si="362"/>
        <v>1.2285535148378854</v>
      </c>
      <c r="H1763" s="1635">
        <f t="shared" si="377"/>
        <v>2804010</v>
      </c>
      <c r="K1763" s="1636">
        <v>2804010</v>
      </c>
    </row>
    <row r="1764" spans="1:11" ht="17.100000000000001" customHeight="1">
      <c r="A1764" s="1666"/>
      <c r="B1764" s="1678"/>
      <c r="C1764" s="2485" t="s">
        <v>760</v>
      </c>
      <c r="D1764" s="2486" t="s">
        <v>761</v>
      </c>
      <c r="E1764" s="2481">
        <v>202103</v>
      </c>
      <c r="F1764" s="2481">
        <f t="shared" ref="F1764:F1768" si="386">H1764</f>
        <v>196678</v>
      </c>
      <c r="G1764" s="2482">
        <f t="shared" si="362"/>
        <v>0.9731572515004725</v>
      </c>
      <c r="H1764" s="1635">
        <f t="shared" si="377"/>
        <v>196678</v>
      </c>
      <c r="K1764" s="1636">
        <v>196678</v>
      </c>
    </row>
    <row r="1765" spans="1:11" ht="17.100000000000001" customHeight="1">
      <c r="A1765" s="1666"/>
      <c r="B1765" s="1678"/>
      <c r="C1765" s="2485" t="s">
        <v>762</v>
      </c>
      <c r="D1765" s="2486" t="s">
        <v>763</v>
      </c>
      <c r="E1765" s="2481">
        <v>404994</v>
      </c>
      <c r="F1765" s="2481">
        <f t="shared" si="386"/>
        <v>502038</v>
      </c>
      <c r="G1765" s="2482">
        <f t="shared" si="362"/>
        <v>1.2396183647165142</v>
      </c>
      <c r="H1765" s="1635">
        <f t="shared" si="377"/>
        <v>502038</v>
      </c>
      <c r="K1765" s="1636">
        <v>502038</v>
      </c>
    </row>
    <row r="1766" spans="1:11" ht="27.75" customHeight="1">
      <c r="A1766" s="1666"/>
      <c r="B1766" s="1678"/>
      <c r="C1766" s="2485" t="s">
        <v>764</v>
      </c>
      <c r="D1766" s="2486" t="s">
        <v>1440</v>
      </c>
      <c r="E1766" s="2481">
        <v>51148</v>
      </c>
      <c r="F1766" s="2481">
        <f t="shared" si="386"/>
        <v>62382</v>
      </c>
      <c r="G1766" s="2482">
        <f t="shared" si="362"/>
        <v>1.2196371314616408</v>
      </c>
      <c r="H1766" s="1635">
        <f t="shared" si="377"/>
        <v>62382</v>
      </c>
      <c r="K1766" s="1636">
        <v>62382</v>
      </c>
    </row>
    <row r="1767" spans="1:11" ht="17.100000000000001" customHeight="1">
      <c r="A1767" s="1666"/>
      <c r="B1767" s="1678"/>
      <c r="C1767" s="1719" t="s">
        <v>766</v>
      </c>
      <c r="D1767" s="1720" t="s">
        <v>767</v>
      </c>
      <c r="E1767" s="2481">
        <v>12000</v>
      </c>
      <c r="F1767" s="2481">
        <f t="shared" si="386"/>
        <v>32400</v>
      </c>
      <c r="G1767" s="2482">
        <f t="shared" si="362"/>
        <v>2.7</v>
      </c>
      <c r="H1767" s="1635">
        <f t="shared" si="377"/>
        <v>32400</v>
      </c>
      <c r="K1767" s="1636">
        <v>32400</v>
      </c>
    </row>
    <row r="1768" spans="1:11" ht="17.100000000000001" customHeight="1">
      <c r="A1768" s="1666"/>
      <c r="B1768" s="1678"/>
      <c r="C1768" s="2487" t="s">
        <v>768</v>
      </c>
      <c r="D1768" s="2488" t="s">
        <v>769</v>
      </c>
      <c r="E1768" s="2481">
        <v>29073</v>
      </c>
      <c r="F1768" s="2481">
        <f t="shared" si="386"/>
        <v>24726</v>
      </c>
      <c r="G1768" s="2482">
        <f t="shared" si="362"/>
        <v>0.85047982664327726</v>
      </c>
      <c r="H1768" s="1635">
        <f t="shared" si="377"/>
        <v>24726</v>
      </c>
      <c r="K1768" s="1636">
        <v>24726</v>
      </c>
    </row>
    <row r="1769" spans="1:11" ht="12.75" customHeight="1">
      <c r="A1769" s="1666"/>
      <c r="B1769" s="1678"/>
      <c r="C1769" s="1699"/>
      <c r="D1769" s="1699"/>
      <c r="E1769" s="1683"/>
      <c r="F1769" s="1683"/>
      <c r="G1769" s="1684"/>
      <c r="H1769" s="1635">
        <f t="shared" si="377"/>
        <v>0</v>
      </c>
    </row>
    <row r="1770" spans="1:11" ht="17.100000000000001" customHeight="1">
      <c r="A1770" s="1666"/>
      <c r="B1770" s="1678"/>
      <c r="C1770" s="3752" t="s">
        <v>770</v>
      </c>
      <c r="D1770" s="3752"/>
      <c r="E1770" s="2483">
        <f t="shared" ref="E1770:F1770" si="387">SUM(E1771:E1791)</f>
        <v>714350</v>
      </c>
      <c r="F1770" s="2483">
        <f t="shared" si="387"/>
        <v>879721</v>
      </c>
      <c r="G1770" s="2484">
        <f t="shared" si="362"/>
        <v>1.2314985651291384</v>
      </c>
      <c r="H1770" s="1635">
        <f t="shared" si="377"/>
        <v>0</v>
      </c>
    </row>
    <row r="1771" spans="1:11" ht="17.100000000000001" customHeight="1">
      <c r="A1771" s="1666"/>
      <c r="B1771" s="1678"/>
      <c r="C1771" s="2485" t="s">
        <v>771</v>
      </c>
      <c r="D1771" s="2486" t="s">
        <v>772</v>
      </c>
      <c r="E1771" s="2465">
        <v>5822</v>
      </c>
      <c r="F1771" s="2465">
        <f>H1771</f>
        <v>7646</v>
      </c>
      <c r="G1771" s="2466">
        <f t="shared" si="362"/>
        <v>1.3132944005496392</v>
      </c>
      <c r="H1771" s="1635">
        <f t="shared" si="377"/>
        <v>7646</v>
      </c>
      <c r="K1771" s="1636">
        <v>7646</v>
      </c>
    </row>
    <row r="1772" spans="1:11" ht="17.100000000000001" customHeight="1">
      <c r="A1772" s="1666"/>
      <c r="B1772" s="1678"/>
      <c r="C1772" s="2485" t="s">
        <v>869</v>
      </c>
      <c r="D1772" s="2328" t="s">
        <v>839</v>
      </c>
      <c r="E1772" s="1904">
        <v>22440</v>
      </c>
      <c r="F1772" s="1904">
        <f t="shared" ref="F1772:F1791" si="388">H1772</f>
        <v>23000</v>
      </c>
      <c r="G1772" s="1905">
        <f t="shared" si="362"/>
        <v>1.0249554367201426</v>
      </c>
      <c r="H1772" s="1635">
        <f t="shared" si="377"/>
        <v>23000</v>
      </c>
      <c r="K1772" s="1636">
        <v>23000</v>
      </c>
    </row>
    <row r="1773" spans="1:11" ht="17.100000000000001" customHeight="1">
      <c r="A1773" s="1666"/>
      <c r="B1773" s="1678"/>
      <c r="C1773" s="2485" t="s">
        <v>773</v>
      </c>
      <c r="D1773" s="2328" t="s">
        <v>774</v>
      </c>
      <c r="E1773" s="1904">
        <v>115814</v>
      </c>
      <c r="F1773" s="1904">
        <f t="shared" si="388"/>
        <v>150995</v>
      </c>
      <c r="G1773" s="1905">
        <f t="shared" si="362"/>
        <v>1.3037715647503756</v>
      </c>
      <c r="H1773" s="1635">
        <f t="shared" si="377"/>
        <v>150995</v>
      </c>
      <c r="K1773" s="1636">
        <v>150995</v>
      </c>
    </row>
    <row r="1774" spans="1:11" ht="17.100000000000001" customHeight="1">
      <c r="A1774" s="1666"/>
      <c r="B1774" s="1678"/>
      <c r="C1774" s="2485" t="s">
        <v>775</v>
      </c>
      <c r="D1774" s="2328" t="s">
        <v>776</v>
      </c>
      <c r="E1774" s="1904">
        <v>4491</v>
      </c>
      <c r="F1774" s="1904">
        <f t="shared" si="388"/>
        <v>4619</v>
      </c>
      <c r="G1774" s="1905">
        <f t="shared" si="362"/>
        <v>1.0285014473391227</v>
      </c>
      <c r="H1774" s="1635">
        <f t="shared" si="377"/>
        <v>4619</v>
      </c>
      <c r="K1774" s="1636">
        <v>4619</v>
      </c>
    </row>
    <row r="1775" spans="1:11" ht="17.100000000000001" customHeight="1">
      <c r="A1775" s="1666"/>
      <c r="B1775" s="1678"/>
      <c r="C1775" s="2485" t="s">
        <v>777</v>
      </c>
      <c r="D1775" s="2328" t="s">
        <v>778</v>
      </c>
      <c r="E1775" s="1904">
        <v>90895</v>
      </c>
      <c r="F1775" s="1904">
        <f t="shared" si="388"/>
        <v>102486</v>
      </c>
      <c r="G1775" s="1905">
        <f t="shared" si="362"/>
        <v>1.1275207657186863</v>
      </c>
      <c r="H1775" s="1635">
        <f t="shared" si="377"/>
        <v>102486</v>
      </c>
      <c r="K1775" s="1636">
        <v>102486</v>
      </c>
    </row>
    <row r="1776" spans="1:11" ht="17.100000000000001" customHeight="1">
      <c r="A1776" s="1666"/>
      <c r="B1776" s="1678"/>
      <c r="C1776" s="2485" t="s">
        <v>779</v>
      </c>
      <c r="D1776" s="2328" t="s">
        <v>780</v>
      </c>
      <c r="E1776" s="1904">
        <v>17384</v>
      </c>
      <c r="F1776" s="1904">
        <f t="shared" si="388"/>
        <v>111996</v>
      </c>
      <c r="G1776" s="1905">
        <f t="shared" si="362"/>
        <v>6.4424758398527384</v>
      </c>
      <c r="H1776" s="1635">
        <f t="shared" si="377"/>
        <v>111996</v>
      </c>
      <c r="K1776" s="1636">
        <v>111996</v>
      </c>
    </row>
    <row r="1777" spans="1:11" ht="17.100000000000001" customHeight="1">
      <c r="A1777" s="1666"/>
      <c r="B1777" s="1678"/>
      <c r="C1777" s="2485" t="s">
        <v>781</v>
      </c>
      <c r="D1777" s="2328" t="s">
        <v>782</v>
      </c>
      <c r="E1777" s="1904">
        <v>5882</v>
      </c>
      <c r="F1777" s="1904">
        <f t="shared" si="388"/>
        <v>5880</v>
      </c>
      <c r="G1777" s="1905">
        <f t="shared" si="362"/>
        <v>0.99965997959877595</v>
      </c>
      <c r="H1777" s="1635">
        <f t="shared" si="377"/>
        <v>5880</v>
      </c>
      <c r="K1777" s="1636">
        <v>5880</v>
      </c>
    </row>
    <row r="1778" spans="1:11" ht="17.100000000000001" customHeight="1">
      <c r="A1778" s="1666"/>
      <c r="B1778" s="1678"/>
      <c r="C1778" s="2485" t="s">
        <v>783</v>
      </c>
      <c r="D1778" s="2328" t="s">
        <v>784</v>
      </c>
      <c r="E1778" s="1904">
        <v>238258</v>
      </c>
      <c r="F1778" s="1904">
        <f t="shared" si="388"/>
        <v>258388</v>
      </c>
      <c r="G1778" s="1905">
        <f t="shared" si="362"/>
        <v>1.0844882438365133</v>
      </c>
      <c r="H1778" s="1635">
        <f t="shared" si="377"/>
        <v>258388</v>
      </c>
      <c r="K1778" s="1636">
        <v>258388</v>
      </c>
    </row>
    <row r="1779" spans="1:11" ht="16.5" customHeight="1">
      <c r="A1779" s="3039"/>
      <c r="B1779" s="3038"/>
      <c r="C1779" s="3099" t="s">
        <v>785</v>
      </c>
      <c r="D1779" s="3100" t="s">
        <v>786</v>
      </c>
      <c r="E1779" s="2756">
        <v>15001</v>
      </c>
      <c r="F1779" s="2756">
        <f t="shared" si="388"/>
        <v>14569</v>
      </c>
      <c r="G1779" s="1905">
        <f t="shared" si="362"/>
        <v>0.97120191987200855</v>
      </c>
      <c r="H1779" s="1635">
        <f t="shared" si="377"/>
        <v>14569</v>
      </c>
      <c r="K1779" s="1636">
        <v>14569</v>
      </c>
    </row>
    <row r="1780" spans="1:11" ht="16.5" hidden="1" customHeight="1">
      <c r="A1780" s="3039"/>
      <c r="B1780" s="3038"/>
      <c r="C1780" s="3076" t="s">
        <v>950</v>
      </c>
      <c r="D1780" s="3077" t="s">
        <v>951</v>
      </c>
      <c r="E1780" s="3078"/>
      <c r="F1780" s="2756">
        <f t="shared" si="388"/>
        <v>0</v>
      </c>
      <c r="G1780" s="1750" t="e">
        <f t="shared" si="362"/>
        <v>#DIV/0!</v>
      </c>
      <c r="H1780" s="1635">
        <f t="shared" si="377"/>
        <v>0</v>
      </c>
    </row>
    <row r="1781" spans="1:11" ht="16.5" customHeight="1" thickBot="1">
      <c r="A1781" s="1792"/>
      <c r="B1781" s="3183"/>
      <c r="C1781" s="3081" t="s">
        <v>787</v>
      </c>
      <c r="D1781" s="3082" t="s">
        <v>788</v>
      </c>
      <c r="E1781" s="1694">
        <v>48000</v>
      </c>
      <c r="F1781" s="1694">
        <f t="shared" si="388"/>
        <v>32538</v>
      </c>
      <c r="G1781" s="1905">
        <f t="shared" si="362"/>
        <v>0.67787500000000001</v>
      </c>
      <c r="H1781" s="1635">
        <f t="shared" si="377"/>
        <v>32538</v>
      </c>
      <c r="K1781" s="1636">
        <v>32538</v>
      </c>
    </row>
    <row r="1782" spans="1:11" ht="25.5" hidden="1" customHeight="1">
      <c r="A1782" s="1666"/>
      <c r="B1782" s="1678"/>
      <c r="C1782" s="3076" t="s">
        <v>789</v>
      </c>
      <c r="D1782" s="3077" t="s">
        <v>790</v>
      </c>
      <c r="E1782" s="3078">
        <v>1800</v>
      </c>
      <c r="F1782" s="3078">
        <f t="shared" si="388"/>
        <v>0</v>
      </c>
      <c r="G1782" s="1905">
        <f t="shared" si="362"/>
        <v>0</v>
      </c>
      <c r="H1782" s="1635">
        <f t="shared" si="377"/>
        <v>0</v>
      </c>
      <c r="K1782" s="1636">
        <v>0</v>
      </c>
    </row>
    <row r="1783" spans="1:11" ht="17.100000000000001" customHeight="1">
      <c r="A1783" s="1666"/>
      <c r="B1783" s="1678"/>
      <c r="C1783" s="2485" t="s">
        <v>791</v>
      </c>
      <c r="D1783" s="2328" t="s">
        <v>792</v>
      </c>
      <c r="E1783" s="1904">
        <v>11000</v>
      </c>
      <c r="F1783" s="1904">
        <f t="shared" si="388"/>
        <v>11015</v>
      </c>
      <c r="G1783" s="1905">
        <f t="shared" ref="G1783:G1871" si="389">F1783/E1783</f>
        <v>1.0013636363636365</v>
      </c>
      <c r="H1783" s="1635">
        <f t="shared" si="377"/>
        <v>11015</v>
      </c>
      <c r="K1783" s="1636">
        <v>11015</v>
      </c>
    </row>
    <row r="1784" spans="1:11" ht="17.100000000000001" customHeight="1">
      <c r="A1784" s="1666"/>
      <c r="B1784" s="1678"/>
      <c r="C1784" s="2485" t="s">
        <v>927</v>
      </c>
      <c r="D1784" s="2328" t="s">
        <v>928</v>
      </c>
      <c r="E1784" s="1904">
        <v>2000</v>
      </c>
      <c r="F1784" s="1904">
        <f t="shared" si="388"/>
        <v>2000</v>
      </c>
      <c r="G1784" s="1905">
        <f t="shared" si="389"/>
        <v>1</v>
      </c>
      <c r="H1784" s="1635">
        <f t="shared" si="377"/>
        <v>2000</v>
      </c>
      <c r="K1784" s="1636">
        <v>2000</v>
      </c>
    </row>
    <row r="1785" spans="1:11" ht="17.100000000000001" customHeight="1">
      <c r="A1785" s="1666"/>
      <c r="B1785" s="1678"/>
      <c r="C1785" s="2485" t="s">
        <v>793</v>
      </c>
      <c r="D1785" s="2328" t="s">
        <v>794</v>
      </c>
      <c r="E1785" s="1904">
        <v>5041</v>
      </c>
      <c r="F1785" s="1904">
        <f t="shared" si="388"/>
        <v>8181</v>
      </c>
      <c r="G1785" s="1905">
        <f t="shared" si="389"/>
        <v>1.6228922832771275</v>
      </c>
      <c r="H1785" s="1635">
        <f t="shared" si="377"/>
        <v>8181</v>
      </c>
      <c r="K1785" s="1636">
        <v>8181</v>
      </c>
    </row>
    <row r="1786" spans="1:11" ht="17.100000000000001" customHeight="1">
      <c r="A1786" s="1666"/>
      <c r="B1786" s="1678"/>
      <c r="C1786" s="2485" t="s">
        <v>795</v>
      </c>
      <c r="D1786" s="2328" t="s">
        <v>796</v>
      </c>
      <c r="E1786" s="1904">
        <v>78896</v>
      </c>
      <c r="F1786" s="1904">
        <f t="shared" si="388"/>
        <v>93437</v>
      </c>
      <c r="G1786" s="1905">
        <f t="shared" si="389"/>
        <v>1.1843059217197323</v>
      </c>
      <c r="H1786" s="1635">
        <f t="shared" si="377"/>
        <v>93437</v>
      </c>
      <c r="K1786" s="1636">
        <v>93437</v>
      </c>
    </row>
    <row r="1787" spans="1:11" ht="17.100000000000001" customHeight="1">
      <c r="A1787" s="1666"/>
      <c r="B1787" s="1678"/>
      <c r="C1787" s="2485" t="s">
        <v>797</v>
      </c>
      <c r="D1787" s="2328" t="s">
        <v>798</v>
      </c>
      <c r="E1787" s="1904">
        <v>17045</v>
      </c>
      <c r="F1787" s="1904">
        <f t="shared" si="388"/>
        <v>18052</v>
      </c>
      <c r="G1787" s="1905">
        <f t="shared" si="389"/>
        <v>1.0590789087709005</v>
      </c>
      <c r="H1787" s="1635">
        <f t="shared" si="377"/>
        <v>18052</v>
      </c>
      <c r="K1787" s="1636">
        <v>18052</v>
      </c>
    </row>
    <row r="1788" spans="1:11" ht="17.100000000000001" customHeight="1">
      <c r="A1788" s="1666"/>
      <c r="B1788" s="1678"/>
      <c r="C1788" s="2485" t="s">
        <v>801</v>
      </c>
      <c r="D1788" s="2328" t="s">
        <v>802</v>
      </c>
      <c r="E1788" s="1904">
        <v>16467</v>
      </c>
      <c r="F1788" s="1904">
        <f t="shared" si="388"/>
        <v>16419</v>
      </c>
      <c r="G1788" s="1905">
        <f t="shared" si="389"/>
        <v>0.99708507924940792</v>
      </c>
      <c r="H1788" s="1635">
        <f t="shared" si="377"/>
        <v>16419</v>
      </c>
      <c r="K1788" s="1636">
        <v>16419</v>
      </c>
    </row>
    <row r="1789" spans="1:11" ht="17.100000000000001" customHeight="1">
      <c r="A1789" s="1666"/>
      <c r="B1789" s="1678"/>
      <c r="C1789" s="2434" t="s">
        <v>803</v>
      </c>
      <c r="D1789" s="2328" t="s">
        <v>804</v>
      </c>
      <c r="E1789" s="1904">
        <v>2500</v>
      </c>
      <c r="F1789" s="1904">
        <f t="shared" si="388"/>
        <v>2500</v>
      </c>
      <c r="G1789" s="1905">
        <f t="shared" si="389"/>
        <v>1</v>
      </c>
      <c r="H1789" s="1635">
        <f t="shared" si="377"/>
        <v>2500</v>
      </c>
      <c r="K1789" s="1636">
        <v>2500</v>
      </c>
    </row>
    <row r="1790" spans="1:11" ht="17.100000000000001" customHeight="1">
      <c r="A1790" s="1666"/>
      <c r="B1790" s="1678"/>
      <c r="C1790" s="1706" t="s">
        <v>874</v>
      </c>
      <c r="D1790" s="2328" t="s">
        <v>875</v>
      </c>
      <c r="E1790" s="1904">
        <v>3214</v>
      </c>
      <c r="F1790" s="1904">
        <f t="shared" si="388"/>
        <v>600</v>
      </c>
      <c r="G1790" s="1905">
        <f t="shared" si="389"/>
        <v>0.18668326073428748</v>
      </c>
      <c r="H1790" s="1635">
        <f t="shared" si="377"/>
        <v>600</v>
      </c>
      <c r="K1790" s="1636">
        <v>600</v>
      </c>
    </row>
    <row r="1791" spans="1:11" ht="18" customHeight="1">
      <c r="A1791" s="1666"/>
      <c r="B1791" s="1678"/>
      <c r="C1791" s="2489" t="s">
        <v>805</v>
      </c>
      <c r="D1791" s="2490" t="s">
        <v>806</v>
      </c>
      <c r="E1791" s="1904">
        <v>12400</v>
      </c>
      <c r="F1791" s="1904">
        <f t="shared" si="388"/>
        <v>15400</v>
      </c>
      <c r="G1791" s="1905">
        <f t="shared" si="389"/>
        <v>1.2419354838709677</v>
      </c>
      <c r="H1791" s="1635">
        <f t="shared" si="377"/>
        <v>15400</v>
      </c>
      <c r="K1791" s="1636">
        <v>15400</v>
      </c>
    </row>
    <row r="1792" spans="1:11" ht="17.100000000000001" customHeight="1">
      <c r="A1792" s="1666"/>
      <c r="B1792" s="1678"/>
      <c r="C1792" s="2491"/>
      <c r="D1792" s="2492"/>
      <c r="E1792" s="2493"/>
      <c r="F1792" s="2493"/>
      <c r="G1792" s="2494"/>
      <c r="H1792" s="1635">
        <f t="shared" si="377"/>
        <v>0</v>
      </c>
    </row>
    <row r="1793" spans="1:11" ht="17.100000000000001" customHeight="1">
      <c r="A1793" s="1666"/>
      <c r="B1793" s="1678"/>
      <c r="C1793" s="3486" t="s">
        <v>857</v>
      </c>
      <c r="D1793" s="3486"/>
      <c r="E1793" s="1749">
        <f>E1794</f>
        <v>920000</v>
      </c>
      <c r="F1793" s="1749">
        <f t="shared" ref="F1793" si="390">F1794</f>
        <v>800000</v>
      </c>
      <c r="G1793" s="1750">
        <f t="shared" si="389"/>
        <v>0.86956521739130432</v>
      </c>
      <c r="H1793" s="1635">
        <f t="shared" si="377"/>
        <v>0</v>
      </c>
    </row>
    <row r="1794" spans="1:11" ht="53.25" customHeight="1">
      <c r="A1794" s="1666"/>
      <c r="B1794" s="1678"/>
      <c r="C1794" s="2485" t="s">
        <v>409</v>
      </c>
      <c r="D1794" s="2328" t="s">
        <v>876</v>
      </c>
      <c r="E1794" s="1904">
        <v>920000</v>
      </c>
      <c r="F1794" s="1904">
        <f>H1794</f>
        <v>800000</v>
      </c>
      <c r="G1794" s="1905">
        <f t="shared" si="389"/>
        <v>0.86956521739130432</v>
      </c>
      <c r="H1794" s="1635">
        <f t="shared" si="377"/>
        <v>800000</v>
      </c>
      <c r="K1794" s="1636">
        <v>800000</v>
      </c>
    </row>
    <row r="1795" spans="1:11" ht="15" customHeight="1">
      <c r="A1795" s="1666"/>
      <c r="B1795" s="1678"/>
      <c r="C1795" s="1699"/>
      <c r="D1795" s="1699"/>
      <c r="E1795" s="1683"/>
      <c r="F1795" s="1683"/>
      <c r="G1795" s="1684"/>
      <c r="H1795" s="1635">
        <f t="shared" si="377"/>
        <v>0</v>
      </c>
    </row>
    <row r="1796" spans="1:11" ht="17.100000000000001" customHeight="1">
      <c r="A1796" s="1666"/>
      <c r="B1796" s="3519"/>
      <c r="C1796" s="3753" t="s">
        <v>807</v>
      </c>
      <c r="D1796" s="3753"/>
      <c r="E1796" s="2323">
        <f>SUM(E1797)</f>
        <v>8144</v>
      </c>
      <c r="F1796" s="2323">
        <f>SUM(F1797)</f>
        <v>14448</v>
      </c>
      <c r="G1796" s="2324">
        <f t="shared" si="389"/>
        <v>1.7740667976424362</v>
      </c>
      <c r="H1796" s="1635">
        <f t="shared" si="377"/>
        <v>0</v>
      </c>
    </row>
    <row r="1797" spans="1:11" ht="17.25" customHeight="1">
      <c r="A1797" s="1666"/>
      <c r="B1797" s="3519"/>
      <c r="C1797" s="2485" t="s">
        <v>808</v>
      </c>
      <c r="D1797" s="2328" t="s">
        <v>809</v>
      </c>
      <c r="E1797" s="2452">
        <v>8144</v>
      </c>
      <c r="F1797" s="2452">
        <f>H1797</f>
        <v>14448</v>
      </c>
      <c r="G1797" s="2453">
        <f t="shared" si="389"/>
        <v>1.7740667976424362</v>
      </c>
      <c r="H1797" s="1635">
        <f t="shared" si="377"/>
        <v>14448</v>
      </c>
      <c r="K1797" s="1636">
        <v>14448</v>
      </c>
    </row>
    <row r="1798" spans="1:11" ht="17.25" customHeight="1">
      <c r="A1798" s="1666"/>
      <c r="B1798" s="3519"/>
      <c r="C1798" s="2495"/>
      <c r="D1798" s="2496"/>
      <c r="E1798" s="1688"/>
      <c r="F1798" s="1688"/>
      <c r="G1798" s="1689"/>
    </row>
    <row r="1799" spans="1:11" ht="17.25" customHeight="1">
      <c r="A1799" s="1666"/>
      <c r="B1799" s="3519"/>
      <c r="C1799" s="3751" t="s">
        <v>810</v>
      </c>
      <c r="D1799" s="3751"/>
      <c r="E1799" s="2071">
        <f>E1800</f>
        <v>810499</v>
      </c>
      <c r="F1799" s="2071">
        <f t="shared" ref="F1799" si="391">F1800</f>
        <v>482236</v>
      </c>
      <c r="G1799" s="2054">
        <f t="shared" si="389"/>
        <v>0.59498654532578077</v>
      </c>
      <c r="H1799" s="1635">
        <f t="shared" si="377"/>
        <v>0</v>
      </c>
    </row>
    <row r="1800" spans="1:11" ht="17.25" customHeight="1">
      <c r="A1800" s="1666"/>
      <c r="B1800" s="3519"/>
      <c r="C1800" s="3745" t="s">
        <v>811</v>
      </c>
      <c r="D1800" s="3745"/>
      <c r="E1800" s="1904">
        <f>SUM(E1801:E1801)</f>
        <v>810499</v>
      </c>
      <c r="F1800" s="1904">
        <f>SUM(F1801:F1801)</f>
        <v>482236</v>
      </c>
      <c r="G1800" s="1905">
        <f t="shared" si="389"/>
        <v>0.59498654532578077</v>
      </c>
      <c r="H1800" s="1635">
        <f t="shared" si="377"/>
        <v>0</v>
      </c>
    </row>
    <row r="1801" spans="1:11" ht="17.25" customHeight="1" thickBot="1">
      <c r="A1801" s="1666"/>
      <c r="B1801" s="3519"/>
      <c r="C1801" s="2343" t="s">
        <v>821</v>
      </c>
      <c r="D1801" s="2497" t="s">
        <v>813</v>
      </c>
      <c r="E1801" s="1904">
        <v>810499</v>
      </c>
      <c r="F1801" s="1904">
        <f>H1801</f>
        <v>482236</v>
      </c>
      <c r="G1801" s="1905">
        <f t="shared" si="389"/>
        <v>0.59498654532578077</v>
      </c>
      <c r="H1801" s="1635">
        <f t="shared" si="377"/>
        <v>482236</v>
      </c>
      <c r="K1801" s="1636">
        <v>482236</v>
      </c>
    </row>
    <row r="1802" spans="1:11" ht="17.100000000000001" hidden="1" customHeight="1">
      <c r="A1802" s="1666"/>
      <c r="B1802" s="3519"/>
      <c r="C1802" s="2498"/>
      <c r="D1802" s="2499" t="s">
        <v>1174</v>
      </c>
      <c r="E1802" s="2500"/>
      <c r="F1802" s="2500">
        <f>F1803</f>
        <v>0</v>
      </c>
      <c r="G1802" s="2501" t="e">
        <f t="shared" si="389"/>
        <v>#DIV/0!</v>
      </c>
      <c r="H1802" s="1635">
        <f t="shared" si="377"/>
        <v>0</v>
      </c>
    </row>
    <row r="1803" spans="1:11" ht="17.100000000000001" hidden="1" customHeight="1">
      <c r="A1803" s="1666"/>
      <c r="B1803" s="3519"/>
      <c r="C1803" s="3754" t="s">
        <v>755</v>
      </c>
      <c r="D1803" s="3754"/>
      <c r="E1803" s="2071"/>
      <c r="F1803" s="2071">
        <f>F1804</f>
        <v>0</v>
      </c>
      <c r="G1803" s="2054" t="e">
        <f t="shared" si="389"/>
        <v>#DIV/0!</v>
      </c>
      <c r="H1803" s="1635">
        <f t="shared" si="377"/>
        <v>0</v>
      </c>
    </row>
    <row r="1804" spans="1:11" ht="17.100000000000001" hidden="1" customHeight="1">
      <c r="A1804" s="1666"/>
      <c r="B1804" s="3519"/>
      <c r="C1804" s="3746" t="s">
        <v>857</v>
      </c>
      <c r="D1804" s="3746"/>
      <c r="E1804" s="1904"/>
      <c r="F1804" s="1904">
        <f>F1805</f>
        <v>0</v>
      </c>
      <c r="G1804" s="1905" t="e">
        <f t="shared" si="389"/>
        <v>#DIV/0!</v>
      </c>
      <c r="H1804" s="1635">
        <f t="shared" si="377"/>
        <v>0</v>
      </c>
    </row>
    <row r="1805" spans="1:11" ht="45" hidden="1" customHeight="1">
      <c r="A1805" s="1666"/>
      <c r="B1805" s="3519"/>
      <c r="C1805" s="2485" t="s">
        <v>649</v>
      </c>
      <c r="D1805" s="2328" t="s">
        <v>905</v>
      </c>
      <c r="E1805" s="1904"/>
      <c r="F1805" s="1904">
        <f>H1805</f>
        <v>0</v>
      </c>
      <c r="G1805" s="1905" t="e">
        <f t="shared" si="389"/>
        <v>#DIV/0!</v>
      </c>
      <c r="H1805" s="1635">
        <f t="shared" si="377"/>
        <v>0</v>
      </c>
    </row>
    <row r="1806" spans="1:11" ht="17.100000000000001" hidden="1" customHeight="1">
      <c r="A1806" s="1666"/>
      <c r="B1806" s="3519"/>
      <c r="C1806" s="2502"/>
      <c r="D1806" s="2503" t="s">
        <v>1175</v>
      </c>
      <c r="E1806" s="2504"/>
      <c r="F1806" s="2504">
        <f>F1807</f>
        <v>0</v>
      </c>
      <c r="G1806" s="2505" t="e">
        <f t="shared" si="389"/>
        <v>#DIV/0!</v>
      </c>
      <c r="H1806" s="1635">
        <f t="shared" ref="H1806:H1871" si="392">SUM(I1806:AE1806)</f>
        <v>0</v>
      </c>
    </row>
    <row r="1807" spans="1:11" ht="17.100000000000001" hidden="1" customHeight="1">
      <c r="A1807" s="1666"/>
      <c r="B1807" s="3519"/>
      <c r="C1807" s="3754" t="s">
        <v>755</v>
      </c>
      <c r="D1807" s="3754"/>
      <c r="E1807" s="2071"/>
      <c r="F1807" s="2071">
        <f>F1808</f>
        <v>0</v>
      </c>
      <c r="G1807" s="2054" t="e">
        <f t="shared" si="389"/>
        <v>#DIV/0!</v>
      </c>
      <c r="H1807" s="1635">
        <f t="shared" si="392"/>
        <v>0</v>
      </c>
    </row>
    <row r="1808" spans="1:11" ht="17.100000000000001" hidden="1" customHeight="1">
      <c r="A1808" s="1666"/>
      <c r="B1808" s="3519"/>
      <c r="C1808" s="3746" t="s">
        <v>857</v>
      </c>
      <c r="D1808" s="3746"/>
      <c r="E1808" s="1904"/>
      <c r="F1808" s="1904">
        <f>F1809+F1810</f>
        <v>0</v>
      </c>
      <c r="G1808" s="1905" t="e">
        <f t="shared" si="389"/>
        <v>#DIV/0!</v>
      </c>
      <c r="H1808" s="1635">
        <f t="shared" si="392"/>
        <v>0</v>
      </c>
    </row>
    <row r="1809" spans="1:8" ht="42" hidden="1" customHeight="1">
      <c r="A1809" s="1666"/>
      <c r="B1809" s="3519"/>
      <c r="C1809" s="2485" t="s">
        <v>649</v>
      </c>
      <c r="D1809" s="2328" t="s">
        <v>905</v>
      </c>
      <c r="E1809" s="1904"/>
      <c r="F1809" s="1904">
        <f>H1809</f>
        <v>0</v>
      </c>
      <c r="G1809" s="1905" t="e">
        <f t="shared" si="389"/>
        <v>#DIV/0!</v>
      </c>
      <c r="H1809" s="1635">
        <f t="shared" si="392"/>
        <v>0</v>
      </c>
    </row>
    <row r="1810" spans="1:8" ht="17.25" hidden="1" customHeight="1">
      <c r="A1810" s="1666"/>
      <c r="B1810" s="3519"/>
      <c r="C1810" s="2485" t="s">
        <v>1014</v>
      </c>
      <c r="D1810" s="2328" t="s">
        <v>794</v>
      </c>
      <c r="E1810" s="1904"/>
      <c r="F1810" s="1904">
        <f>H1810</f>
        <v>0</v>
      </c>
      <c r="G1810" s="1905" t="e">
        <f t="shared" si="389"/>
        <v>#DIV/0!</v>
      </c>
      <c r="H1810" s="1635">
        <f t="shared" si="392"/>
        <v>0</v>
      </c>
    </row>
    <row r="1811" spans="1:8" ht="17.25" hidden="1" customHeight="1">
      <c r="A1811" s="1666"/>
      <c r="B1811" s="3519"/>
      <c r="C1811" s="1699"/>
      <c r="D1811" s="1699"/>
      <c r="E1811" s="1683"/>
      <c r="F1811" s="1683"/>
      <c r="G1811" s="1905"/>
      <c r="H1811" s="1635">
        <f t="shared" si="392"/>
        <v>0</v>
      </c>
    </row>
    <row r="1812" spans="1:8" ht="17.25" hidden="1" customHeight="1">
      <c r="A1812" s="1666"/>
      <c r="B1812" s="3519"/>
      <c r="C1812" s="3751" t="s">
        <v>810</v>
      </c>
      <c r="D1812" s="3751"/>
      <c r="E1812" s="2071">
        <f t="shared" ref="E1812:F1812" si="393">E1813</f>
        <v>0</v>
      </c>
      <c r="F1812" s="2071">
        <f t="shared" si="393"/>
        <v>0</v>
      </c>
      <c r="G1812" s="1905" t="e">
        <f t="shared" si="389"/>
        <v>#DIV/0!</v>
      </c>
      <c r="H1812" s="1635">
        <f t="shared" si="392"/>
        <v>0</v>
      </c>
    </row>
    <row r="1813" spans="1:8" ht="17.25" hidden="1" customHeight="1">
      <c r="A1813" s="1666"/>
      <c r="B1813" s="3519"/>
      <c r="C1813" s="3745" t="s">
        <v>811</v>
      </c>
      <c r="D1813" s="3745"/>
      <c r="E1813" s="1904">
        <f>SUM(E1815+E1814)</f>
        <v>0</v>
      </c>
      <c r="F1813" s="1904">
        <f>SUM(F1815+F1814)</f>
        <v>0</v>
      </c>
      <c r="G1813" s="1905" t="e">
        <f t="shared" si="389"/>
        <v>#DIV/0!</v>
      </c>
      <c r="H1813" s="1635">
        <f t="shared" si="392"/>
        <v>0</v>
      </c>
    </row>
    <row r="1814" spans="1:8" ht="17.25" hidden="1" customHeight="1">
      <c r="A1814" s="1666"/>
      <c r="B1814" s="3519"/>
      <c r="C1814" s="2506" t="s">
        <v>821</v>
      </c>
      <c r="D1814" s="2507" t="s">
        <v>813</v>
      </c>
      <c r="E1814" s="2323"/>
      <c r="F1814" s="2323">
        <f>H1814</f>
        <v>0</v>
      </c>
      <c r="G1814" s="1905" t="e">
        <f t="shared" si="389"/>
        <v>#DIV/0!</v>
      </c>
      <c r="H1814" s="1635">
        <f t="shared" si="392"/>
        <v>0</v>
      </c>
    </row>
    <row r="1815" spans="1:8" ht="17.25" hidden="1" customHeight="1" thickBot="1">
      <c r="A1815" s="1666"/>
      <c r="B1815" s="3519"/>
      <c r="C1815" s="2489" t="s">
        <v>812</v>
      </c>
      <c r="D1815" s="2490" t="s">
        <v>861</v>
      </c>
      <c r="E1815" s="2323"/>
      <c r="F1815" s="2323">
        <f>H1815</f>
        <v>0</v>
      </c>
      <c r="G1815" s="1905" t="e">
        <f t="shared" si="389"/>
        <v>#DIV/0!</v>
      </c>
      <c r="H1815" s="1635">
        <f t="shared" si="392"/>
        <v>0</v>
      </c>
    </row>
    <row r="1816" spans="1:8" ht="17.100000000000001" hidden="1" customHeight="1" thickBot="1">
      <c r="A1816" s="1666"/>
      <c r="B1816" s="1734" t="s">
        <v>1176</v>
      </c>
      <c r="C1816" s="1735"/>
      <c r="D1816" s="1736" t="s">
        <v>1177</v>
      </c>
      <c r="E1816" s="1737">
        <f t="shared" ref="E1816:F1818" si="394">E1817</f>
        <v>0</v>
      </c>
      <c r="F1816" s="1737">
        <f t="shared" si="394"/>
        <v>0</v>
      </c>
      <c r="G1816" s="1738" t="e">
        <f>F1816/E1816</f>
        <v>#DIV/0!</v>
      </c>
      <c r="H1816" s="1635">
        <f t="shared" si="392"/>
        <v>0</v>
      </c>
    </row>
    <row r="1817" spans="1:8" ht="17.25" hidden="1" customHeight="1">
      <c r="A1817" s="1666"/>
      <c r="B1817" s="1678"/>
      <c r="C1817" s="3629" t="s">
        <v>810</v>
      </c>
      <c r="D1817" s="3629"/>
      <c r="E1817" s="1805">
        <f t="shared" si="394"/>
        <v>0</v>
      </c>
      <c r="F1817" s="1805">
        <f t="shared" si="394"/>
        <v>0</v>
      </c>
      <c r="G1817" s="2508" t="e">
        <f>F1817/E1817</f>
        <v>#DIV/0!</v>
      </c>
      <c r="H1817" s="1635">
        <f t="shared" si="392"/>
        <v>0</v>
      </c>
    </row>
    <row r="1818" spans="1:8" ht="17.25" hidden="1" customHeight="1">
      <c r="A1818" s="1666"/>
      <c r="B1818" s="1678"/>
      <c r="C1818" s="3745" t="s">
        <v>811</v>
      </c>
      <c r="D1818" s="3745"/>
      <c r="E1818" s="1904">
        <f t="shared" si="394"/>
        <v>0</v>
      </c>
      <c r="F1818" s="1904">
        <f t="shared" si="394"/>
        <v>0</v>
      </c>
      <c r="G1818" s="2324" t="e">
        <f t="shared" ref="G1818:G1823" si="395">F1818/E1818</f>
        <v>#DIV/0!</v>
      </c>
      <c r="H1818" s="1635">
        <f t="shared" si="392"/>
        <v>0</v>
      </c>
    </row>
    <row r="1819" spans="1:8" ht="43.5" hidden="1" customHeight="1" thickBot="1">
      <c r="A1819" s="1666"/>
      <c r="B1819" s="1678"/>
      <c r="C1819" s="2489" t="s">
        <v>1008</v>
      </c>
      <c r="D1819" s="2490" t="s">
        <v>1009</v>
      </c>
      <c r="E1819" s="1688">
        <v>0</v>
      </c>
      <c r="F1819" s="1688">
        <f>H1819</f>
        <v>0</v>
      </c>
      <c r="G1819" s="1695" t="e">
        <f t="shared" si="395"/>
        <v>#DIV/0!</v>
      </c>
      <c r="H1819" s="1635">
        <f t="shared" si="392"/>
        <v>0</v>
      </c>
    </row>
    <row r="1820" spans="1:8" ht="17.100000000000001" hidden="1" customHeight="1" thickBot="1">
      <c r="A1820" s="2288"/>
      <c r="B1820" s="2132" t="s">
        <v>1178</v>
      </c>
      <c r="C1820" s="2133"/>
      <c r="D1820" s="2134" t="s">
        <v>867</v>
      </c>
      <c r="E1820" s="1737">
        <f t="shared" ref="E1820:F1821" si="396">E1821</f>
        <v>0</v>
      </c>
      <c r="F1820" s="1737">
        <f t="shared" si="396"/>
        <v>0</v>
      </c>
      <c r="G1820" s="1738" t="e">
        <f t="shared" si="395"/>
        <v>#DIV/0!</v>
      </c>
      <c r="H1820" s="1635">
        <f t="shared" si="392"/>
        <v>0</v>
      </c>
    </row>
    <row r="1821" spans="1:8" ht="17.100000000000001" hidden="1" customHeight="1">
      <c r="A1821" s="2288"/>
      <c r="B1821" s="3582"/>
      <c r="C1821" s="3472" t="s">
        <v>755</v>
      </c>
      <c r="D1821" s="3472"/>
      <c r="E1821" s="1672">
        <f>E1822</f>
        <v>0</v>
      </c>
      <c r="F1821" s="1672">
        <f t="shared" si="396"/>
        <v>0</v>
      </c>
      <c r="G1821" s="1673" t="e">
        <f t="shared" si="395"/>
        <v>#DIV/0!</v>
      </c>
      <c r="H1821" s="1635">
        <f t="shared" si="392"/>
        <v>0</v>
      </c>
    </row>
    <row r="1822" spans="1:8" ht="17.100000000000001" hidden="1" customHeight="1">
      <c r="A1822" s="2288"/>
      <c r="B1822" s="3582"/>
      <c r="C1822" s="3746" t="s">
        <v>857</v>
      </c>
      <c r="D1822" s="3746"/>
      <c r="E1822" s="2481">
        <f>SUM(E1823:E1823)</f>
        <v>0</v>
      </c>
      <c r="F1822" s="2481">
        <f t="shared" ref="F1822" si="397">SUM(F1823:F1823)</f>
        <v>0</v>
      </c>
      <c r="G1822" s="2482" t="e">
        <f t="shared" si="395"/>
        <v>#DIV/0!</v>
      </c>
      <c r="H1822" s="1635">
        <f t="shared" si="392"/>
        <v>0</v>
      </c>
    </row>
    <row r="1823" spans="1:8" ht="39" hidden="1" customHeight="1" thickBot="1">
      <c r="A1823" s="2288"/>
      <c r="B1823" s="3582"/>
      <c r="C1823" s="2509" t="s">
        <v>394</v>
      </c>
      <c r="D1823" s="2510" t="s">
        <v>1179</v>
      </c>
      <c r="E1823" s="2511"/>
      <c r="F1823" s="2511">
        <f>H1823</f>
        <v>0</v>
      </c>
      <c r="G1823" s="2512" t="e">
        <f t="shared" si="395"/>
        <v>#DIV/0!</v>
      </c>
      <c r="H1823" s="1635">
        <f t="shared" si="392"/>
        <v>0</v>
      </c>
    </row>
    <row r="1824" spans="1:8" ht="17.100000000000001" customHeight="1" thickBot="1">
      <c r="A1824" s="1666"/>
      <c r="B1824" s="1734" t="s">
        <v>1180</v>
      </c>
      <c r="C1824" s="1735"/>
      <c r="D1824" s="1736" t="s">
        <v>11</v>
      </c>
      <c r="E1824" s="1737">
        <f>E1825+E1898</f>
        <v>18583699</v>
      </c>
      <c r="F1824" s="1737">
        <f>F1825+F1898</f>
        <v>16222304</v>
      </c>
      <c r="G1824" s="1738">
        <f t="shared" si="389"/>
        <v>0.8729319173755451</v>
      </c>
      <c r="H1824" s="1635">
        <f t="shared" si="392"/>
        <v>0</v>
      </c>
    </row>
    <row r="1825" spans="1:23" ht="17.100000000000001" customHeight="1">
      <c r="A1825" s="1666"/>
      <c r="B1825" s="1745"/>
      <c r="C1825" s="3472" t="s">
        <v>755</v>
      </c>
      <c r="D1825" s="3472"/>
      <c r="E1825" s="1805">
        <f>E1826+E1833</f>
        <v>18326516</v>
      </c>
      <c r="F1825" s="1672">
        <f>F1826+F1833</f>
        <v>15850760</v>
      </c>
      <c r="G1825" s="1816">
        <f t="shared" si="389"/>
        <v>0.86490852925891637</v>
      </c>
      <c r="H1825" s="1635">
        <f t="shared" si="392"/>
        <v>0</v>
      </c>
    </row>
    <row r="1826" spans="1:23" ht="17.100000000000001" customHeight="1">
      <c r="A1826" s="1666"/>
      <c r="B1826" s="1745"/>
      <c r="C1826" s="3746" t="s">
        <v>857</v>
      </c>
      <c r="D1826" s="3746"/>
      <c r="E1826" s="1904">
        <f>SUM(E1827:E1831)</f>
        <v>13204920</v>
      </c>
      <c r="F1826" s="1904">
        <f>SUM(F1827:F1831)</f>
        <v>11829997</v>
      </c>
      <c r="G1826" s="1905">
        <f t="shared" si="389"/>
        <v>0.89587797578478323</v>
      </c>
      <c r="H1826" s="1635">
        <f t="shared" si="392"/>
        <v>0</v>
      </c>
    </row>
    <row r="1827" spans="1:23" ht="56.25" customHeight="1">
      <c r="A1827" s="1666"/>
      <c r="B1827" s="1745"/>
      <c r="C1827" s="2485" t="s">
        <v>649</v>
      </c>
      <c r="D1827" s="2328" t="s">
        <v>884</v>
      </c>
      <c r="E1827" s="1904">
        <v>10921063</v>
      </c>
      <c r="F1827" s="1904">
        <f>H1827</f>
        <v>9041963</v>
      </c>
      <c r="G1827" s="1905">
        <f t="shared" si="389"/>
        <v>0.8279379946805544</v>
      </c>
      <c r="H1827" s="1635">
        <f t="shared" si="392"/>
        <v>9041963</v>
      </c>
      <c r="W1827" s="1636">
        <v>9041963</v>
      </c>
    </row>
    <row r="1828" spans="1:23" ht="60" customHeight="1">
      <c r="A1828" s="1666"/>
      <c r="B1828" s="1745"/>
      <c r="C1828" s="2485" t="s">
        <v>486</v>
      </c>
      <c r="D1828" s="1770" t="s">
        <v>827</v>
      </c>
      <c r="E1828" s="1904">
        <v>2036855</v>
      </c>
      <c r="F1828" s="1904">
        <f t="shared" ref="F1828:F1831" si="398">H1828</f>
        <v>2788034</v>
      </c>
      <c r="G1828" s="1905">
        <f t="shared" si="389"/>
        <v>1.3687935567332972</v>
      </c>
      <c r="H1828" s="1635">
        <f t="shared" si="392"/>
        <v>2788034</v>
      </c>
      <c r="W1828" s="1636">
        <v>2788034</v>
      </c>
    </row>
    <row r="1829" spans="1:23" ht="53.25" hidden="1" customHeight="1">
      <c r="A1829" s="1666"/>
      <c r="B1829" s="1745"/>
      <c r="C1829" s="2506" t="s">
        <v>409</v>
      </c>
      <c r="D1829" s="2513" t="s">
        <v>876</v>
      </c>
      <c r="E1829" s="1904">
        <v>98835</v>
      </c>
      <c r="F1829" s="2511">
        <f t="shared" si="398"/>
        <v>0</v>
      </c>
      <c r="G1829" s="1750">
        <f t="shared" si="389"/>
        <v>0</v>
      </c>
      <c r="H1829" s="1635">
        <f t="shared" si="392"/>
        <v>0</v>
      </c>
    </row>
    <row r="1830" spans="1:23" ht="54.75" hidden="1" customHeight="1">
      <c r="A1830" s="1666"/>
      <c r="B1830" s="1745"/>
      <c r="C1830" s="2343" t="s">
        <v>591</v>
      </c>
      <c r="D1830" s="2514" t="s">
        <v>885</v>
      </c>
      <c r="E1830" s="1904">
        <v>1698</v>
      </c>
      <c r="F1830" s="2323">
        <f t="shared" si="398"/>
        <v>0</v>
      </c>
      <c r="G1830" s="1750">
        <f t="shared" si="389"/>
        <v>0</v>
      </c>
      <c r="H1830" s="1635">
        <f t="shared" si="392"/>
        <v>0</v>
      </c>
    </row>
    <row r="1831" spans="1:23" ht="15" hidden="1" customHeight="1">
      <c r="A1831" s="1666"/>
      <c r="B1831" s="1745"/>
      <c r="C1831" s="2343">
        <v>2959</v>
      </c>
      <c r="D1831" s="2515" t="s">
        <v>886</v>
      </c>
      <c r="E1831" s="1904">
        <v>146469</v>
      </c>
      <c r="F1831" s="1904">
        <f t="shared" si="398"/>
        <v>0</v>
      </c>
      <c r="G1831" s="1750">
        <f t="shared" si="389"/>
        <v>0</v>
      </c>
      <c r="H1831" s="1635">
        <f t="shared" si="392"/>
        <v>0</v>
      </c>
    </row>
    <row r="1832" spans="1:23" ht="16.5" customHeight="1">
      <c r="A1832" s="1666"/>
      <c r="B1832" s="1745"/>
      <c r="C1832" s="2495"/>
      <c r="D1832" s="2516"/>
      <c r="E1832" s="2517"/>
      <c r="F1832" s="2481"/>
      <c r="G1832" s="2518"/>
      <c r="H1832" s="1635">
        <f t="shared" si="392"/>
        <v>0</v>
      </c>
    </row>
    <row r="1833" spans="1:23" ht="15.75" customHeight="1">
      <c r="A1833" s="1666"/>
      <c r="B1833" s="1745"/>
      <c r="C1833" s="3746" t="s">
        <v>825</v>
      </c>
      <c r="D1833" s="3760"/>
      <c r="E1833" s="1904">
        <f>SUM(E1834:E1896)</f>
        <v>5121596</v>
      </c>
      <c r="F1833" s="1904">
        <f>SUM(F1834:F1896)</f>
        <v>4020763</v>
      </c>
      <c r="G1833" s="1905">
        <f t="shared" si="389"/>
        <v>0.78506055534251429</v>
      </c>
      <c r="H1833" s="1635">
        <f t="shared" si="392"/>
        <v>0</v>
      </c>
    </row>
    <row r="1834" spans="1:23" ht="63" hidden="1" customHeight="1">
      <c r="A1834" s="1666"/>
      <c r="B1834" s="1745"/>
      <c r="C1834" s="2519" t="s">
        <v>489</v>
      </c>
      <c r="D1834" s="2520" t="s">
        <v>1169</v>
      </c>
      <c r="E1834" s="1904"/>
      <c r="F1834" s="2511">
        <f>H1834</f>
        <v>0</v>
      </c>
      <c r="G1834" s="1905" t="e">
        <f t="shared" si="389"/>
        <v>#DIV/0!</v>
      </c>
      <c r="H1834" s="1635">
        <f t="shared" si="392"/>
        <v>0</v>
      </c>
    </row>
    <row r="1835" spans="1:23" ht="60.75" hidden="1" customHeight="1">
      <c r="A1835" s="1666"/>
      <c r="B1835" s="1745"/>
      <c r="C1835" s="2519" t="s">
        <v>649</v>
      </c>
      <c r="D1835" s="2520" t="s">
        <v>884</v>
      </c>
      <c r="E1835" s="1904"/>
      <c r="F1835" s="2511">
        <f t="shared" ref="F1835:F1896" si="399">H1835</f>
        <v>0</v>
      </c>
      <c r="G1835" s="1905" t="e">
        <f t="shared" si="389"/>
        <v>#DIV/0!</v>
      </c>
      <c r="H1835" s="1635">
        <f t="shared" si="392"/>
        <v>0</v>
      </c>
    </row>
    <row r="1836" spans="1:23" ht="60" customHeight="1">
      <c r="A1836" s="1666"/>
      <c r="B1836" s="1745"/>
      <c r="C1836" s="2485" t="s">
        <v>573</v>
      </c>
      <c r="D1836" s="2521" t="s">
        <v>827</v>
      </c>
      <c r="E1836" s="1904">
        <v>2777821</v>
      </c>
      <c r="F1836" s="2511">
        <f t="shared" si="399"/>
        <v>1681242</v>
      </c>
      <c r="G1836" s="1905">
        <f t="shared" si="389"/>
        <v>0.60523770250134912</v>
      </c>
      <c r="H1836" s="1635">
        <f t="shared" si="392"/>
        <v>1681242</v>
      </c>
      <c r="K1836" s="1636">
        <v>1681242</v>
      </c>
    </row>
    <row r="1837" spans="1:23" ht="60.75" customHeight="1">
      <c r="A1837" s="1666"/>
      <c r="B1837" s="1745"/>
      <c r="C1837" s="2485" t="s">
        <v>486</v>
      </c>
      <c r="D1837" s="1770" t="s">
        <v>827</v>
      </c>
      <c r="E1837" s="1904">
        <v>508245</v>
      </c>
      <c r="F1837" s="2511">
        <f t="shared" si="399"/>
        <v>313588</v>
      </c>
      <c r="G1837" s="1905">
        <f t="shared" si="389"/>
        <v>0.61700164290843984</v>
      </c>
      <c r="H1837" s="1635">
        <f t="shared" si="392"/>
        <v>313588</v>
      </c>
      <c r="K1837" s="1636">
        <v>313588</v>
      </c>
    </row>
    <row r="1838" spans="1:23" ht="59.25" hidden="1" customHeight="1">
      <c r="A1838" s="1666"/>
      <c r="B1838" s="1745"/>
      <c r="C1838" s="2506" t="s">
        <v>457</v>
      </c>
      <c r="D1838" s="1770" t="s">
        <v>885</v>
      </c>
      <c r="E1838" s="1904">
        <v>7788</v>
      </c>
      <c r="F1838" s="2511">
        <f t="shared" si="399"/>
        <v>0</v>
      </c>
      <c r="G1838" s="1905">
        <f t="shared" si="389"/>
        <v>0</v>
      </c>
      <c r="H1838" s="1635">
        <f t="shared" si="392"/>
        <v>0</v>
      </c>
    </row>
    <row r="1839" spans="1:23" ht="54.75" hidden="1" customHeight="1">
      <c r="A1839" s="1666"/>
      <c r="B1839" s="1745"/>
      <c r="C1839" s="2506" t="s">
        <v>591</v>
      </c>
      <c r="D1839" s="1770" t="s">
        <v>879</v>
      </c>
      <c r="E1839" s="1904">
        <v>1453</v>
      </c>
      <c r="F1839" s="2511">
        <f t="shared" si="399"/>
        <v>0</v>
      </c>
      <c r="G1839" s="1905">
        <f t="shared" si="389"/>
        <v>0</v>
      </c>
    </row>
    <row r="1840" spans="1:23" ht="21" hidden="1" customHeight="1">
      <c r="A1840" s="1666"/>
      <c r="B1840" s="1745"/>
      <c r="C1840" s="2522" t="s">
        <v>637</v>
      </c>
      <c r="D1840" s="1770" t="s">
        <v>886</v>
      </c>
      <c r="E1840" s="1904">
        <v>37154</v>
      </c>
      <c r="F1840" s="2511">
        <f t="shared" si="399"/>
        <v>0</v>
      </c>
      <c r="G1840" s="1905">
        <f t="shared" si="389"/>
        <v>0</v>
      </c>
      <c r="H1840" s="1635">
        <f t="shared" si="392"/>
        <v>0</v>
      </c>
    </row>
    <row r="1841" spans="1:11" ht="21" hidden="1" customHeight="1">
      <c r="A1841" s="1666"/>
      <c r="B1841" s="1745"/>
      <c r="C1841" s="2522" t="s">
        <v>593</v>
      </c>
      <c r="D1841" s="2523" t="s">
        <v>886</v>
      </c>
      <c r="E1841" s="1904">
        <v>6931</v>
      </c>
      <c r="F1841" s="2511">
        <f t="shared" si="399"/>
        <v>0</v>
      </c>
      <c r="G1841" s="1905">
        <f>F1841/E1841</f>
        <v>0</v>
      </c>
    </row>
    <row r="1842" spans="1:11" ht="18" hidden="1" customHeight="1">
      <c r="A1842" s="1666"/>
      <c r="B1842" s="1745"/>
      <c r="C1842" s="2522" t="s">
        <v>1181</v>
      </c>
      <c r="D1842" s="2328" t="s">
        <v>1021</v>
      </c>
      <c r="E1842" s="1904"/>
      <c r="F1842" s="2511">
        <f t="shared" si="399"/>
        <v>0</v>
      </c>
      <c r="G1842" s="1905" t="e">
        <f t="shared" si="389"/>
        <v>#DIV/0!</v>
      </c>
      <c r="H1842" s="1635">
        <f t="shared" si="392"/>
        <v>0</v>
      </c>
    </row>
    <row r="1843" spans="1:11" ht="18" hidden="1" customHeight="1">
      <c r="A1843" s="1666"/>
      <c r="B1843" s="1745"/>
      <c r="C1843" s="2524" t="s">
        <v>1020</v>
      </c>
      <c r="D1843" s="2328" t="s">
        <v>1021</v>
      </c>
      <c r="E1843" s="1904"/>
      <c r="F1843" s="2511">
        <f t="shared" si="399"/>
        <v>0</v>
      </c>
      <c r="G1843" s="1905" t="e">
        <f t="shared" si="389"/>
        <v>#DIV/0!</v>
      </c>
      <c r="H1843" s="1635">
        <f t="shared" si="392"/>
        <v>0</v>
      </c>
    </row>
    <row r="1844" spans="1:11" ht="18" hidden="1" customHeight="1">
      <c r="A1844" s="1666"/>
      <c r="B1844" s="1745"/>
      <c r="C1844" s="2524" t="s">
        <v>1022</v>
      </c>
      <c r="D1844" s="2328" t="s">
        <v>1021</v>
      </c>
      <c r="E1844" s="1904"/>
      <c r="F1844" s="2511">
        <f t="shared" si="399"/>
        <v>0</v>
      </c>
      <c r="G1844" s="1905" t="e">
        <f t="shared" si="389"/>
        <v>#DIV/0!</v>
      </c>
      <c r="H1844" s="1635">
        <f t="shared" si="392"/>
        <v>0</v>
      </c>
    </row>
    <row r="1845" spans="1:11" ht="18" customHeight="1">
      <c r="A1845" s="1666"/>
      <c r="B1845" s="1745"/>
      <c r="C1845" s="2485" t="s">
        <v>887</v>
      </c>
      <c r="D1845" s="2328" t="s">
        <v>759</v>
      </c>
      <c r="E1845" s="1904">
        <v>609320</v>
      </c>
      <c r="F1845" s="2511">
        <f t="shared" si="399"/>
        <v>504613</v>
      </c>
      <c r="G1845" s="1905">
        <f t="shared" si="389"/>
        <v>0.82815761832862866</v>
      </c>
      <c r="H1845" s="1635">
        <f t="shared" si="392"/>
        <v>504613</v>
      </c>
      <c r="K1845" s="1636">
        <v>504613</v>
      </c>
    </row>
    <row r="1846" spans="1:11" ht="18" hidden="1" customHeight="1">
      <c r="A1846" s="1666"/>
      <c r="B1846" s="1745"/>
      <c r="C1846" s="2485" t="s">
        <v>828</v>
      </c>
      <c r="D1846" s="2328" t="s">
        <v>759</v>
      </c>
      <c r="E1846" s="1904"/>
      <c r="F1846" s="2511">
        <f t="shared" si="399"/>
        <v>0</v>
      </c>
      <c r="G1846" s="1905" t="e">
        <f t="shared" si="389"/>
        <v>#DIV/0!</v>
      </c>
      <c r="H1846" s="1635">
        <f t="shared" si="392"/>
        <v>0</v>
      </c>
    </row>
    <row r="1847" spans="1:11" ht="18" customHeight="1">
      <c r="A1847" s="1666"/>
      <c r="B1847" s="1745"/>
      <c r="C1847" s="2434" t="s">
        <v>829</v>
      </c>
      <c r="D1847" s="2435" t="s">
        <v>759</v>
      </c>
      <c r="E1847" s="1904">
        <v>157297</v>
      </c>
      <c r="F1847" s="2511">
        <f t="shared" si="399"/>
        <v>136153</v>
      </c>
      <c r="G1847" s="1905">
        <f t="shared" si="389"/>
        <v>0.8655791273832304</v>
      </c>
      <c r="H1847" s="1635">
        <f t="shared" si="392"/>
        <v>136153</v>
      </c>
      <c r="K1847" s="1636">
        <v>136153</v>
      </c>
    </row>
    <row r="1848" spans="1:11" ht="18" customHeight="1">
      <c r="A1848" s="1666"/>
      <c r="B1848" s="1745"/>
      <c r="C1848" s="1719" t="s">
        <v>888</v>
      </c>
      <c r="D1848" s="1720" t="s">
        <v>761</v>
      </c>
      <c r="E1848" s="1749">
        <v>36250</v>
      </c>
      <c r="F1848" s="2511">
        <f t="shared" si="399"/>
        <v>66326</v>
      </c>
      <c r="G1848" s="1750">
        <f t="shared" si="389"/>
        <v>1.8296827586206896</v>
      </c>
      <c r="H1848" s="1635">
        <f t="shared" si="392"/>
        <v>66326</v>
      </c>
      <c r="K1848" s="1636">
        <v>66326</v>
      </c>
    </row>
    <row r="1849" spans="1:11" ht="18" hidden="1" customHeight="1">
      <c r="A1849" s="1666"/>
      <c r="B1849" s="1745"/>
      <c r="C1849" s="2525" t="s">
        <v>830</v>
      </c>
      <c r="D1849" s="2328" t="s">
        <v>761</v>
      </c>
      <c r="E1849" s="1904"/>
      <c r="F1849" s="2511">
        <f t="shared" si="399"/>
        <v>0</v>
      </c>
      <c r="G1849" s="1905" t="e">
        <f t="shared" si="389"/>
        <v>#DIV/0!</v>
      </c>
      <c r="H1849" s="1635">
        <f t="shared" si="392"/>
        <v>0</v>
      </c>
    </row>
    <row r="1850" spans="1:11" ht="18" customHeight="1">
      <c r="A1850" s="1666"/>
      <c r="B1850" s="1745"/>
      <c r="C1850" s="2485" t="s">
        <v>831</v>
      </c>
      <c r="D1850" s="2328" t="s">
        <v>761</v>
      </c>
      <c r="E1850" s="1904">
        <v>2401</v>
      </c>
      <c r="F1850" s="2511">
        <f t="shared" si="399"/>
        <v>3541</v>
      </c>
      <c r="G1850" s="1905">
        <f t="shared" si="389"/>
        <v>1.4748021657642649</v>
      </c>
      <c r="H1850" s="1635">
        <f t="shared" si="392"/>
        <v>3541</v>
      </c>
      <c r="K1850" s="1636">
        <v>3541</v>
      </c>
    </row>
    <row r="1851" spans="1:11" ht="18" customHeight="1">
      <c r="A1851" s="1666"/>
      <c r="B1851" s="1745"/>
      <c r="C1851" s="2485" t="s">
        <v>889</v>
      </c>
      <c r="D1851" s="2328" t="s">
        <v>763</v>
      </c>
      <c r="E1851" s="1904">
        <v>115927</v>
      </c>
      <c r="F1851" s="2511">
        <f t="shared" si="399"/>
        <v>97860</v>
      </c>
      <c r="G1851" s="1905">
        <f t="shared" si="389"/>
        <v>0.84415192319304388</v>
      </c>
      <c r="H1851" s="1635">
        <f t="shared" si="392"/>
        <v>97860</v>
      </c>
      <c r="K1851" s="1636">
        <v>97860</v>
      </c>
    </row>
    <row r="1852" spans="1:11" ht="18" hidden="1" customHeight="1">
      <c r="A1852" s="1666"/>
      <c r="B1852" s="1745"/>
      <c r="C1852" s="2485" t="s">
        <v>832</v>
      </c>
      <c r="D1852" s="2328" t="s">
        <v>763</v>
      </c>
      <c r="E1852" s="1904"/>
      <c r="F1852" s="2511">
        <f t="shared" si="399"/>
        <v>0</v>
      </c>
      <c r="G1852" s="1905" t="e">
        <f t="shared" si="389"/>
        <v>#DIV/0!</v>
      </c>
      <c r="H1852" s="1635">
        <f t="shared" si="392"/>
        <v>0</v>
      </c>
    </row>
    <row r="1853" spans="1:11" ht="18" customHeight="1">
      <c r="A1853" s="1666"/>
      <c r="B1853" s="1745"/>
      <c r="C1853" s="2485" t="s">
        <v>833</v>
      </c>
      <c r="D1853" s="2328" t="s">
        <v>763</v>
      </c>
      <c r="E1853" s="1904">
        <v>28338</v>
      </c>
      <c r="F1853" s="2511">
        <f t="shared" si="399"/>
        <v>22957</v>
      </c>
      <c r="G1853" s="1905">
        <f t="shared" si="389"/>
        <v>0.81011362834356693</v>
      </c>
      <c r="H1853" s="1635">
        <f t="shared" si="392"/>
        <v>22957</v>
      </c>
      <c r="K1853" s="1636">
        <v>22957</v>
      </c>
    </row>
    <row r="1854" spans="1:11" ht="29.25" customHeight="1">
      <c r="A1854" s="1666"/>
      <c r="B1854" s="1745"/>
      <c r="C1854" s="2485" t="s">
        <v>890</v>
      </c>
      <c r="D1854" s="2328" t="s">
        <v>1440</v>
      </c>
      <c r="E1854" s="1904">
        <v>16781</v>
      </c>
      <c r="F1854" s="2511">
        <f t="shared" si="399"/>
        <v>14000</v>
      </c>
      <c r="G1854" s="1905">
        <f t="shared" si="389"/>
        <v>0.83427686073535545</v>
      </c>
      <c r="H1854" s="1635">
        <f t="shared" si="392"/>
        <v>14000</v>
      </c>
      <c r="K1854" s="1636">
        <v>14000</v>
      </c>
    </row>
    <row r="1855" spans="1:11" ht="27.75" hidden="1" customHeight="1">
      <c r="A1855" s="1666"/>
      <c r="B1855" s="1745"/>
      <c r="C1855" s="2485" t="s">
        <v>834</v>
      </c>
      <c r="D1855" s="2328" t="s">
        <v>765</v>
      </c>
      <c r="E1855" s="1904"/>
      <c r="F1855" s="2511">
        <f t="shared" si="399"/>
        <v>0</v>
      </c>
      <c r="G1855" s="1905" t="e">
        <f t="shared" si="389"/>
        <v>#DIV/0!</v>
      </c>
      <c r="H1855" s="1635">
        <f t="shared" si="392"/>
        <v>0</v>
      </c>
    </row>
    <row r="1856" spans="1:11" ht="31.5" customHeight="1">
      <c r="A1856" s="1666"/>
      <c r="B1856" s="1745"/>
      <c r="C1856" s="2485" t="s">
        <v>835</v>
      </c>
      <c r="D1856" s="2328" t="s">
        <v>1440</v>
      </c>
      <c r="E1856" s="1904">
        <v>4098</v>
      </c>
      <c r="F1856" s="2511">
        <f t="shared" si="399"/>
        <v>3423</v>
      </c>
      <c r="G1856" s="1905">
        <f t="shared" si="389"/>
        <v>0.83528550512445099</v>
      </c>
      <c r="H1856" s="1635">
        <f t="shared" si="392"/>
        <v>3423</v>
      </c>
      <c r="K1856" s="1636">
        <v>3423</v>
      </c>
    </row>
    <row r="1857" spans="1:11" ht="18" customHeight="1">
      <c r="A1857" s="1666"/>
      <c r="B1857" s="1745"/>
      <c r="C1857" s="2485" t="s">
        <v>1003</v>
      </c>
      <c r="D1857" s="2328" t="s">
        <v>767</v>
      </c>
      <c r="E1857" s="1904">
        <v>95547</v>
      </c>
      <c r="F1857" s="2511">
        <f t="shared" si="399"/>
        <v>253994</v>
      </c>
      <c r="G1857" s="1905">
        <f t="shared" si="389"/>
        <v>2.6583147560886267</v>
      </c>
      <c r="H1857" s="1635">
        <f t="shared" si="392"/>
        <v>253994</v>
      </c>
      <c r="K1857" s="1636">
        <v>253994</v>
      </c>
    </row>
    <row r="1858" spans="1:11" ht="18" customHeight="1" thickBot="1">
      <c r="A1858" s="1792"/>
      <c r="B1858" s="3058"/>
      <c r="C1858" s="3081" t="s">
        <v>837</v>
      </c>
      <c r="D1858" s="3082" t="s">
        <v>767</v>
      </c>
      <c r="E1858" s="1694">
        <v>13159</v>
      </c>
      <c r="F1858" s="1694">
        <f t="shared" si="399"/>
        <v>42349</v>
      </c>
      <c r="G1858" s="1905">
        <f t="shared" si="389"/>
        <v>3.2182536666919979</v>
      </c>
      <c r="H1858" s="1635">
        <f t="shared" si="392"/>
        <v>42349</v>
      </c>
      <c r="K1858" s="1636">
        <v>42349</v>
      </c>
    </row>
    <row r="1859" spans="1:11" ht="18" customHeight="1">
      <c r="A1859" s="1666"/>
      <c r="B1859" s="1745"/>
      <c r="C1859" s="3076" t="s">
        <v>891</v>
      </c>
      <c r="D1859" s="3077" t="s">
        <v>774</v>
      </c>
      <c r="E1859" s="3078">
        <v>8175</v>
      </c>
      <c r="F1859" s="1688">
        <f t="shared" si="399"/>
        <v>20971</v>
      </c>
      <c r="G1859" s="1905">
        <f t="shared" si="389"/>
        <v>2.5652599388379205</v>
      </c>
      <c r="H1859" s="1635">
        <f t="shared" si="392"/>
        <v>20971</v>
      </c>
      <c r="K1859" s="1636">
        <v>20971</v>
      </c>
    </row>
    <row r="1860" spans="1:11" ht="18" hidden="1" customHeight="1">
      <c r="A1860" s="1666"/>
      <c r="B1860" s="1745"/>
      <c r="C1860" s="2485" t="s">
        <v>841</v>
      </c>
      <c r="D1860" s="2328" t="s">
        <v>774</v>
      </c>
      <c r="E1860" s="1904"/>
      <c r="F1860" s="2511">
        <f t="shared" si="399"/>
        <v>0</v>
      </c>
      <c r="G1860" s="1905" t="e">
        <f t="shared" si="389"/>
        <v>#DIV/0!</v>
      </c>
      <c r="H1860" s="1635">
        <f t="shared" si="392"/>
        <v>0</v>
      </c>
    </row>
    <row r="1861" spans="1:11" ht="18" customHeight="1">
      <c r="A1861" s="1666"/>
      <c r="B1861" s="1745"/>
      <c r="C1861" s="2485" t="s">
        <v>842</v>
      </c>
      <c r="D1861" s="2328" t="s">
        <v>774</v>
      </c>
      <c r="E1861" s="1904">
        <v>0</v>
      </c>
      <c r="F1861" s="2511">
        <f t="shared" si="399"/>
        <v>2830</v>
      </c>
      <c r="G1861" s="1905"/>
      <c r="H1861" s="1635">
        <f t="shared" si="392"/>
        <v>2830</v>
      </c>
      <c r="K1861" s="1636">
        <v>2830</v>
      </c>
    </row>
    <row r="1862" spans="1:11" ht="18" hidden="1" customHeight="1">
      <c r="A1862" s="1666"/>
      <c r="B1862" s="1745"/>
      <c r="C1862" s="2485" t="s">
        <v>1126</v>
      </c>
      <c r="D1862" s="2328" t="s">
        <v>776</v>
      </c>
      <c r="E1862" s="1904"/>
      <c r="F1862" s="2511">
        <f t="shared" si="399"/>
        <v>0</v>
      </c>
      <c r="G1862" s="1905" t="e">
        <f t="shared" si="389"/>
        <v>#DIV/0!</v>
      </c>
      <c r="H1862" s="1635">
        <f t="shared" si="392"/>
        <v>0</v>
      </c>
    </row>
    <row r="1863" spans="1:11" ht="18" hidden="1" customHeight="1">
      <c r="A1863" s="1666"/>
      <c r="B1863" s="1745"/>
      <c r="C1863" s="2485" t="s">
        <v>1050</v>
      </c>
      <c r="D1863" s="2328" t="s">
        <v>776</v>
      </c>
      <c r="E1863" s="1904"/>
      <c r="F1863" s="2511">
        <f t="shared" si="399"/>
        <v>0</v>
      </c>
      <c r="G1863" s="1905" t="e">
        <f t="shared" si="389"/>
        <v>#DIV/0!</v>
      </c>
      <c r="H1863" s="1635">
        <f t="shared" si="392"/>
        <v>0</v>
      </c>
    </row>
    <row r="1864" spans="1:11" ht="18" hidden="1" customHeight="1">
      <c r="A1864" s="1666"/>
      <c r="B1864" s="1745"/>
      <c r="C1864" s="2485" t="s">
        <v>1051</v>
      </c>
      <c r="D1864" s="2328" t="s">
        <v>778</v>
      </c>
      <c r="E1864" s="1904"/>
      <c r="F1864" s="2511">
        <f t="shared" si="399"/>
        <v>0</v>
      </c>
      <c r="G1864" s="1905" t="e">
        <f t="shared" si="389"/>
        <v>#DIV/0!</v>
      </c>
      <c r="H1864" s="1635">
        <f t="shared" si="392"/>
        <v>0</v>
      </c>
    </row>
    <row r="1865" spans="1:11" ht="18" hidden="1" customHeight="1">
      <c r="A1865" s="1666"/>
      <c r="B1865" s="1745"/>
      <c r="C1865" s="2485" t="s">
        <v>1024</v>
      </c>
      <c r="D1865" s="2328" t="s">
        <v>778</v>
      </c>
      <c r="E1865" s="1904"/>
      <c r="F1865" s="2511">
        <f t="shared" si="399"/>
        <v>0</v>
      </c>
      <c r="G1865" s="1905" t="e">
        <f t="shared" si="389"/>
        <v>#DIV/0!</v>
      </c>
      <c r="H1865" s="1635">
        <f t="shared" si="392"/>
        <v>0</v>
      </c>
    </row>
    <row r="1866" spans="1:11" ht="18" hidden="1" customHeight="1">
      <c r="A1866" s="1666"/>
      <c r="B1866" s="1745"/>
      <c r="C1866" s="2485" t="s">
        <v>1182</v>
      </c>
      <c r="D1866" s="2328" t="s">
        <v>780</v>
      </c>
      <c r="E1866" s="1904"/>
      <c r="F1866" s="2511">
        <f t="shared" si="399"/>
        <v>0</v>
      </c>
      <c r="G1866" s="1905" t="e">
        <f t="shared" si="389"/>
        <v>#DIV/0!</v>
      </c>
      <c r="H1866" s="1635">
        <f t="shared" si="392"/>
        <v>0</v>
      </c>
    </row>
    <row r="1867" spans="1:11" ht="18" hidden="1" customHeight="1">
      <c r="A1867" s="1666"/>
      <c r="B1867" s="1745"/>
      <c r="C1867" s="2485" t="s">
        <v>844</v>
      </c>
      <c r="D1867" s="2328" t="s">
        <v>780</v>
      </c>
      <c r="E1867" s="1904"/>
      <c r="F1867" s="2511">
        <f t="shared" si="399"/>
        <v>0</v>
      </c>
      <c r="G1867" s="1905" t="e">
        <f t="shared" si="389"/>
        <v>#DIV/0!</v>
      </c>
      <c r="H1867" s="1635">
        <f t="shared" si="392"/>
        <v>0</v>
      </c>
    </row>
    <row r="1868" spans="1:11" ht="18" hidden="1" customHeight="1">
      <c r="A1868" s="1666"/>
      <c r="B1868" s="1745"/>
      <c r="C1868" s="2485" t="s">
        <v>1183</v>
      </c>
      <c r="D1868" s="2328" t="s">
        <v>782</v>
      </c>
      <c r="E1868" s="1904"/>
      <c r="F1868" s="2511">
        <f t="shared" si="399"/>
        <v>0</v>
      </c>
      <c r="G1868" s="1905" t="e">
        <f t="shared" si="389"/>
        <v>#DIV/0!</v>
      </c>
      <c r="H1868" s="1635">
        <f t="shared" si="392"/>
        <v>0</v>
      </c>
    </row>
    <row r="1869" spans="1:11" ht="18" hidden="1" customHeight="1">
      <c r="A1869" s="1666"/>
      <c r="B1869" s="1745"/>
      <c r="C1869" s="2485" t="s">
        <v>1026</v>
      </c>
      <c r="D1869" s="2328" t="s">
        <v>782</v>
      </c>
      <c r="E1869" s="1904"/>
      <c r="F1869" s="2511">
        <f t="shared" si="399"/>
        <v>0</v>
      </c>
      <c r="G1869" s="1905" t="e">
        <f t="shared" si="389"/>
        <v>#DIV/0!</v>
      </c>
      <c r="H1869" s="1635">
        <f t="shared" si="392"/>
        <v>0</v>
      </c>
    </row>
    <row r="1870" spans="1:11" ht="18" customHeight="1">
      <c r="A1870" s="1666"/>
      <c r="B1870" s="1745"/>
      <c r="C1870" s="2485" t="s">
        <v>892</v>
      </c>
      <c r="D1870" s="2328" t="s">
        <v>784</v>
      </c>
      <c r="E1870" s="1904">
        <v>622934</v>
      </c>
      <c r="F1870" s="2511">
        <f t="shared" si="399"/>
        <v>739483</v>
      </c>
      <c r="G1870" s="1905">
        <f t="shared" si="389"/>
        <v>1.1870968674048936</v>
      </c>
      <c r="H1870" s="1635">
        <f t="shared" si="392"/>
        <v>739483</v>
      </c>
      <c r="K1870" s="1636">
        <v>739483</v>
      </c>
    </row>
    <row r="1871" spans="1:11" ht="18" hidden="1" customHeight="1">
      <c r="A1871" s="1666"/>
      <c r="B1871" s="1745"/>
      <c r="C1871" s="2485" t="s">
        <v>845</v>
      </c>
      <c r="D1871" s="2328" t="s">
        <v>784</v>
      </c>
      <c r="E1871" s="1904"/>
      <c r="F1871" s="2511">
        <f t="shared" si="399"/>
        <v>0</v>
      </c>
      <c r="G1871" s="1905" t="e">
        <f t="shared" si="389"/>
        <v>#DIV/0!</v>
      </c>
      <c r="H1871" s="1635">
        <f t="shared" si="392"/>
        <v>0</v>
      </c>
    </row>
    <row r="1872" spans="1:11" ht="18" customHeight="1">
      <c r="A1872" s="1666"/>
      <c r="B1872" s="1745"/>
      <c r="C1872" s="2485" t="s">
        <v>846</v>
      </c>
      <c r="D1872" s="2328" t="s">
        <v>784</v>
      </c>
      <c r="E1872" s="1904">
        <v>50639</v>
      </c>
      <c r="F1872" s="2511">
        <f t="shared" si="399"/>
        <v>99484</v>
      </c>
      <c r="G1872" s="1905">
        <f t="shared" ref="G1872:G1949" si="400">F1872/E1872</f>
        <v>1.9645727601255949</v>
      </c>
      <c r="H1872" s="1635">
        <f t="shared" ref="H1872:H1937" si="401">SUM(I1872:AE1872)</f>
        <v>99484</v>
      </c>
      <c r="K1872" s="1636">
        <v>99484</v>
      </c>
    </row>
    <row r="1873" spans="1:11" ht="18" customHeight="1">
      <c r="A1873" s="1666"/>
      <c r="B1873" s="1745"/>
      <c r="C1873" s="2489" t="s">
        <v>1052</v>
      </c>
      <c r="D1873" s="2490" t="s">
        <v>786</v>
      </c>
      <c r="E1873" s="1904">
        <v>421</v>
      </c>
      <c r="F1873" s="2511">
        <f t="shared" si="399"/>
        <v>280</v>
      </c>
      <c r="G1873" s="1905">
        <f t="shared" si="400"/>
        <v>0.66508313539192399</v>
      </c>
      <c r="H1873" s="1635">
        <f t="shared" si="401"/>
        <v>280</v>
      </c>
      <c r="K1873" s="1636">
        <v>280</v>
      </c>
    </row>
    <row r="1874" spans="1:11" ht="18" hidden="1" customHeight="1">
      <c r="A1874" s="1666"/>
      <c r="B1874" s="1745"/>
      <c r="C1874" s="2489" t="s">
        <v>1053</v>
      </c>
      <c r="D1874" s="2490" t="s">
        <v>786</v>
      </c>
      <c r="E1874" s="1904">
        <v>39</v>
      </c>
      <c r="F1874" s="2511">
        <f t="shared" si="399"/>
        <v>0</v>
      </c>
      <c r="G1874" s="1905">
        <f t="shared" si="400"/>
        <v>0</v>
      </c>
      <c r="H1874" s="1635">
        <f t="shared" si="401"/>
        <v>0</v>
      </c>
    </row>
    <row r="1875" spans="1:11" ht="18" hidden="1" customHeight="1">
      <c r="A1875" s="1666"/>
      <c r="B1875" s="1745"/>
      <c r="C1875" s="2489" t="s">
        <v>952</v>
      </c>
      <c r="D1875" s="2490" t="s">
        <v>951</v>
      </c>
      <c r="E1875" s="1904"/>
      <c r="F1875" s="2511">
        <f t="shared" si="399"/>
        <v>0</v>
      </c>
      <c r="G1875" s="1905" t="e">
        <f t="shared" si="400"/>
        <v>#DIV/0!</v>
      </c>
      <c r="H1875" s="1635">
        <f t="shared" si="401"/>
        <v>0</v>
      </c>
    </row>
    <row r="1876" spans="1:11" ht="18" hidden="1" customHeight="1">
      <c r="A1876" s="1666"/>
      <c r="B1876" s="1745"/>
      <c r="C1876" s="2489" t="s">
        <v>953</v>
      </c>
      <c r="D1876" s="2435" t="s">
        <v>951</v>
      </c>
      <c r="E1876" s="1904"/>
      <c r="F1876" s="2511">
        <f t="shared" si="399"/>
        <v>0</v>
      </c>
      <c r="G1876" s="1905" t="e">
        <f t="shared" si="400"/>
        <v>#DIV/0!</v>
      </c>
      <c r="H1876" s="1635">
        <f t="shared" si="401"/>
        <v>0</v>
      </c>
    </row>
    <row r="1877" spans="1:11" ht="18" hidden="1" customHeight="1">
      <c r="A1877" s="1666"/>
      <c r="B1877" s="1745"/>
      <c r="C1877" s="2489" t="s">
        <v>893</v>
      </c>
      <c r="D1877" s="2450" t="s">
        <v>788</v>
      </c>
      <c r="E1877" s="1904"/>
      <c r="F1877" s="2511">
        <f t="shared" si="399"/>
        <v>0</v>
      </c>
      <c r="G1877" s="1905" t="e">
        <f t="shared" si="400"/>
        <v>#DIV/0!</v>
      </c>
      <c r="H1877" s="1635">
        <f t="shared" si="401"/>
        <v>0</v>
      </c>
    </row>
    <row r="1878" spans="1:11" ht="18" hidden="1" customHeight="1">
      <c r="A1878" s="1666"/>
      <c r="B1878" s="1745"/>
      <c r="C1878" s="2489" t="s">
        <v>848</v>
      </c>
      <c r="D1878" s="2450" t="s">
        <v>788</v>
      </c>
      <c r="E1878" s="1904"/>
      <c r="F1878" s="2511">
        <f t="shared" si="399"/>
        <v>0</v>
      </c>
      <c r="G1878" s="1905" t="e">
        <f t="shared" si="400"/>
        <v>#DIV/0!</v>
      </c>
      <c r="H1878" s="1635">
        <f t="shared" si="401"/>
        <v>0</v>
      </c>
    </row>
    <row r="1879" spans="1:11" ht="24.75" hidden="1" customHeight="1">
      <c r="A1879" s="1666"/>
      <c r="B1879" s="1745"/>
      <c r="C1879" s="2489" t="s">
        <v>1184</v>
      </c>
      <c r="D1879" s="1703" t="s">
        <v>790</v>
      </c>
      <c r="E1879" s="1904"/>
      <c r="F1879" s="2511">
        <f t="shared" si="399"/>
        <v>0</v>
      </c>
      <c r="G1879" s="1905" t="e">
        <f t="shared" si="400"/>
        <v>#DIV/0!</v>
      </c>
      <c r="H1879" s="1635">
        <f t="shared" si="401"/>
        <v>0</v>
      </c>
    </row>
    <row r="1880" spans="1:11" ht="24.75" hidden="1" customHeight="1">
      <c r="A1880" s="1666"/>
      <c r="B1880" s="1745"/>
      <c r="C1880" s="2489" t="s">
        <v>1030</v>
      </c>
      <c r="D1880" s="1703" t="s">
        <v>790</v>
      </c>
      <c r="E1880" s="1904"/>
      <c r="F1880" s="2511">
        <f t="shared" si="399"/>
        <v>0</v>
      </c>
      <c r="G1880" s="1905" t="e">
        <f t="shared" si="400"/>
        <v>#DIV/0!</v>
      </c>
      <c r="H1880" s="1635">
        <f t="shared" si="401"/>
        <v>0</v>
      </c>
    </row>
    <row r="1881" spans="1:11" ht="18" customHeight="1">
      <c r="A1881" s="1666"/>
      <c r="B1881" s="1745"/>
      <c r="C1881" s="2489" t="s">
        <v>894</v>
      </c>
      <c r="D1881" s="2526" t="s">
        <v>792</v>
      </c>
      <c r="E1881" s="1904">
        <v>2984</v>
      </c>
      <c r="F1881" s="2511">
        <f t="shared" si="399"/>
        <v>1508</v>
      </c>
      <c r="G1881" s="1905">
        <f t="shared" si="400"/>
        <v>0.50536193029490617</v>
      </c>
      <c r="H1881" s="1635">
        <f t="shared" si="401"/>
        <v>1508</v>
      </c>
      <c r="K1881" s="1636">
        <v>1508</v>
      </c>
    </row>
    <row r="1882" spans="1:11" ht="18" hidden="1" customHeight="1">
      <c r="A1882" s="1666"/>
      <c r="B1882" s="1745"/>
      <c r="C1882" s="2485" t="s">
        <v>849</v>
      </c>
      <c r="D1882" s="1720" t="s">
        <v>792</v>
      </c>
      <c r="E1882" s="1904"/>
      <c r="F1882" s="2511">
        <f t="shared" si="399"/>
        <v>0</v>
      </c>
      <c r="G1882" s="1905" t="e">
        <f t="shared" si="400"/>
        <v>#DIV/0!</v>
      </c>
      <c r="H1882" s="1635">
        <f t="shared" si="401"/>
        <v>0</v>
      </c>
    </row>
    <row r="1883" spans="1:11" ht="18" hidden="1" customHeight="1">
      <c r="A1883" s="1666"/>
      <c r="B1883" s="1745"/>
      <c r="C1883" s="2485" t="s">
        <v>850</v>
      </c>
      <c r="D1883" s="1720" t="s">
        <v>792</v>
      </c>
      <c r="E1883" s="1904">
        <v>180</v>
      </c>
      <c r="F1883" s="2511">
        <f t="shared" si="399"/>
        <v>0</v>
      </c>
      <c r="G1883" s="1905">
        <f t="shared" si="400"/>
        <v>0</v>
      </c>
      <c r="H1883" s="1635">
        <f t="shared" si="401"/>
        <v>0</v>
      </c>
    </row>
    <row r="1884" spans="1:11" ht="18" hidden="1" customHeight="1">
      <c r="A1884" s="1666"/>
      <c r="B1884" s="1745"/>
      <c r="C1884" s="2485" t="s">
        <v>954</v>
      </c>
      <c r="D1884" s="1720" t="s">
        <v>928</v>
      </c>
      <c r="E1884" s="1904"/>
      <c r="F1884" s="2511">
        <f t="shared" si="399"/>
        <v>0</v>
      </c>
      <c r="G1884" s="1905" t="e">
        <f t="shared" si="400"/>
        <v>#DIV/0!</v>
      </c>
      <c r="H1884" s="1635">
        <f t="shared" si="401"/>
        <v>0</v>
      </c>
    </row>
    <row r="1885" spans="1:11" ht="18" hidden="1" customHeight="1">
      <c r="A1885" s="1666"/>
      <c r="B1885" s="1745"/>
      <c r="C1885" s="2485" t="s">
        <v>955</v>
      </c>
      <c r="D1885" s="1720" t="s">
        <v>928</v>
      </c>
      <c r="E1885" s="1904"/>
      <c r="F1885" s="2511">
        <f t="shared" si="399"/>
        <v>0</v>
      </c>
      <c r="G1885" s="1905" t="e">
        <f t="shared" si="400"/>
        <v>#DIV/0!</v>
      </c>
      <c r="H1885" s="1635">
        <f t="shared" si="401"/>
        <v>0</v>
      </c>
    </row>
    <row r="1886" spans="1:11" ht="18" customHeight="1">
      <c r="A1886" s="1666"/>
      <c r="B1886" s="1745"/>
      <c r="C1886" s="2343" t="s">
        <v>1185</v>
      </c>
      <c r="D1886" s="1819" t="s">
        <v>796</v>
      </c>
      <c r="E1886" s="1904">
        <v>5990</v>
      </c>
      <c r="F1886" s="2511">
        <f t="shared" si="399"/>
        <v>5335</v>
      </c>
      <c r="G1886" s="1905">
        <f t="shared" si="400"/>
        <v>0.89065108514190316</v>
      </c>
      <c r="H1886" s="1635">
        <f t="shared" si="401"/>
        <v>5335</v>
      </c>
      <c r="K1886" s="1636">
        <v>5335</v>
      </c>
    </row>
    <row r="1887" spans="1:11" ht="18" customHeight="1">
      <c r="A1887" s="1666"/>
      <c r="B1887" s="1745"/>
      <c r="C1887" s="2367" t="s">
        <v>1186</v>
      </c>
      <c r="D1887" s="1819" t="s">
        <v>796</v>
      </c>
      <c r="E1887" s="1904">
        <v>1118</v>
      </c>
      <c r="F1887" s="2511">
        <f t="shared" si="399"/>
        <v>995</v>
      </c>
      <c r="G1887" s="1905">
        <f t="shared" si="400"/>
        <v>0.88998211091234347</v>
      </c>
      <c r="H1887" s="1635">
        <f t="shared" si="401"/>
        <v>995</v>
      </c>
      <c r="K1887" s="1636">
        <v>995</v>
      </c>
    </row>
    <row r="1888" spans="1:11" ht="18" hidden="1" customHeight="1">
      <c r="A1888" s="1666"/>
      <c r="B1888" s="1745"/>
      <c r="C1888" s="2367" t="s">
        <v>1187</v>
      </c>
      <c r="D1888" s="1819" t="s">
        <v>798</v>
      </c>
      <c r="E1888" s="1904"/>
      <c r="F1888" s="2511">
        <f t="shared" si="399"/>
        <v>0</v>
      </c>
      <c r="G1888" s="1905" t="e">
        <f t="shared" si="400"/>
        <v>#DIV/0!</v>
      </c>
      <c r="H1888" s="1635">
        <f t="shared" si="401"/>
        <v>0</v>
      </c>
    </row>
    <row r="1889" spans="1:23" ht="18" hidden="1" customHeight="1">
      <c r="A1889" s="1666"/>
      <c r="B1889" s="1745"/>
      <c r="C1889" s="2367" t="s">
        <v>1188</v>
      </c>
      <c r="D1889" s="1819" t="s">
        <v>798</v>
      </c>
      <c r="E1889" s="1904"/>
      <c r="F1889" s="2511">
        <f t="shared" si="399"/>
        <v>0</v>
      </c>
      <c r="G1889" s="1905" t="e">
        <f t="shared" si="400"/>
        <v>#DIV/0!</v>
      </c>
      <c r="H1889" s="1635">
        <f t="shared" si="401"/>
        <v>0</v>
      </c>
    </row>
    <row r="1890" spans="1:23" ht="18" hidden="1" customHeight="1">
      <c r="A1890" s="1666"/>
      <c r="B1890" s="1745"/>
      <c r="C1890" s="2367" t="s">
        <v>1189</v>
      </c>
      <c r="D1890" s="1819" t="s">
        <v>802</v>
      </c>
      <c r="E1890" s="1904"/>
      <c r="F1890" s="2511">
        <f t="shared" si="399"/>
        <v>0</v>
      </c>
      <c r="G1890" s="1905" t="e">
        <f t="shared" si="400"/>
        <v>#DIV/0!</v>
      </c>
      <c r="H1890" s="1635">
        <f t="shared" si="401"/>
        <v>0</v>
      </c>
    </row>
    <row r="1891" spans="1:23" ht="18" hidden="1" customHeight="1">
      <c r="A1891" s="1666"/>
      <c r="B1891" s="1745"/>
      <c r="C1891" s="2367" t="s">
        <v>1032</v>
      </c>
      <c r="D1891" s="1819" t="s">
        <v>802</v>
      </c>
      <c r="E1891" s="1904"/>
      <c r="F1891" s="2511">
        <f t="shared" si="399"/>
        <v>0</v>
      </c>
      <c r="G1891" s="1750" t="e">
        <f t="shared" si="400"/>
        <v>#DIV/0!</v>
      </c>
      <c r="H1891" s="1635">
        <f t="shared" si="401"/>
        <v>0</v>
      </c>
    </row>
    <row r="1892" spans="1:23" ht="51" hidden="1" customHeight="1">
      <c r="A1892" s="1666"/>
      <c r="B1892" s="1745"/>
      <c r="C1892" s="2351" t="s">
        <v>881</v>
      </c>
      <c r="D1892" s="2515" t="s">
        <v>882</v>
      </c>
      <c r="E1892" s="1904">
        <v>2080</v>
      </c>
      <c r="F1892" s="2511">
        <f t="shared" si="399"/>
        <v>0</v>
      </c>
      <c r="G1892" s="1905">
        <f t="shared" si="400"/>
        <v>0</v>
      </c>
      <c r="H1892" s="1635">
        <f t="shared" si="401"/>
        <v>0</v>
      </c>
    </row>
    <row r="1893" spans="1:23" ht="18.75" hidden="1" customHeight="1">
      <c r="A1893" s="1666"/>
      <c r="B1893" s="1745"/>
      <c r="C1893" s="2351" t="s">
        <v>895</v>
      </c>
      <c r="D1893" s="2515" t="s">
        <v>806</v>
      </c>
      <c r="E1893" s="1904"/>
      <c r="F1893" s="2511">
        <f t="shared" si="399"/>
        <v>0</v>
      </c>
      <c r="G1893" s="1905" t="e">
        <f t="shared" si="400"/>
        <v>#DIV/0!</v>
      </c>
      <c r="H1893" s="1635">
        <f t="shared" si="401"/>
        <v>0</v>
      </c>
    </row>
    <row r="1894" spans="1:23" ht="18.75" hidden="1" customHeight="1">
      <c r="A1894" s="1666"/>
      <c r="B1894" s="1745"/>
      <c r="C1894" s="2351" t="s">
        <v>854</v>
      </c>
      <c r="D1894" s="2515" t="s">
        <v>806</v>
      </c>
      <c r="E1894" s="1904"/>
      <c r="F1894" s="2511">
        <f t="shared" si="399"/>
        <v>0</v>
      </c>
      <c r="G1894" s="1905" t="e">
        <f t="shared" si="400"/>
        <v>#DIV/0!</v>
      </c>
      <c r="H1894" s="1635">
        <f t="shared" si="401"/>
        <v>0</v>
      </c>
    </row>
    <row r="1895" spans="1:23" ht="18.75" customHeight="1">
      <c r="A1895" s="1666"/>
      <c r="B1895" s="1745"/>
      <c r="C1895" s="2351" t="s">
        <v>896</v>
      </c>
      <c r="D1895" s="2527" t="s">
        <v>769</v>
      </c>
      <c r="E1895" s="1904">
        <v>7060</v>
      </c>
      <c r="F1895" s="2511">
        <f t="shared" si="399"/>
        <v>8270</v>
      </c>
      <c r="G1895" s="1905">
        <f t="shared" si="400"/>
        <v>1.1713881019830028</v>
      </c>
      <c r="H1895" s="1635">
        <f t="shared" si="401"/>
        <v>8270</v>
      </c>
      <c r="K1895" s="1636">
        <v>8270</v>
      </c>
    </row>
    <row r="1896" spans="1:23" ht="18.75" customHeight="1">
      <c r="A1896" s="1666"/>
      <c r="B1896" s="1745"/>
      <c r="C1896" s="2351" t="s">
        <v>856</v>
      </c>
      <c r="D1896" s="2528" t="s">
        <v>769</v>
      </c>
      <c r="E1896" s="1904">
        <v>1466</v>
      </c>
      <c r="F1896" s="1904">
        <f t="shared" si="399"/>
        <v>1561</v>
      </c>
      <c r="G1896" s="1905">
        <f t="shared" si="400"/>
        <v>1.0648021828103684</v>
      </c>
      <c r="H1896" s="1635">
        <f t="shared" si="401"/>
        <v>1561</v>
      </c>
      <c r="K1896" s="1636">
        <v>1561</v>
      </c>
    </row>
    <row r="1897" spans="1:23" ht="14.25" customHeight="1">
      <c r="A1897" s="1666"/>
      <c r="B1897" s="1745"/>
      <c r="C1897" s="1699"/>
      <c r="D1897" s="1699"/>
      <c r="E1897" s="1683"/>
      <c r="F1897" s="1672"/>
      <c r="G1897" s="1684"/>
      <c r="H1897" s="1635">
        <f t="shared" si="401"/>
        <v>0</v>
      </c>
    </row>
    <row r="1898" spans="1:23" ht="17.100000000000001" customHeight="1">
      <c r="A1898" s="1666"/>
      <c r="B1898" s="1745"/>
      <c r="C1898" s="3751" t="s">
        <v>810</v>
      </c>
      <c r="D1898" s="3751"/>
      <c r="E1898" s="2071">
        <f>E1899</f>
        <v>257183</v>
      </c>
      <c r="F1898" s="1672">
        <f t="shared" ref="F1898" si="402">F1899</f>
        <v>371544</v>
      </c>
      <c r="G1898" s="2054">
        <f t="shared" si="400"/>
        <v>1.444667804637165</v>
      </c>
      <c r="H1898" s="1635">
        <f t="shared" si="401"/>
        <v>0</v>
      </c>
    </row>
    <row r="1899" spans="1:23" ht="17.100000000000001" customHeight="1">
      <c r="A1899" s="1666"/>
      <c r="B1899" s="1745"/>
      <c r="C1899" s="3753" t="s">
        <v>931</v>
      </c>
      <c r="D1899" s="3753"/>
      <c r="E1899" s="1904">
        <f>SUM(E1900:E1905)</f>
        <v>257183</v>
      </c>
      <c r="F1899" s="1904">
        <f>SUM(F1900:F1905)</f>
        <v>371544</v>
      </c>
      <c r="G1899" s="1905">
        <f t="shared" si="400"/>
        <v>1.444667804637165</v>
      </c>
      <c r="H1899" s="1635">
        <f t="shared" si="401"/>
        <v>0</v>
      </c>
    </row>
    <row r="1900" spans="1:23" ht="55.5" hidden="1" customHeight="1">
      <c r="A1900" s="1666"/>
      <c r="B1900" s="1745"/>
      <c r="C1900" s="2529" t="s">
        <v>898</v>
      </c>
      <c r="D1900" s="2528" t="s">
        <v>899</v>
      </c>
      <c r="E1900" s="1688"/>
      <c r="F1900" s="1904">
        <f>H1900</f>
        <v>0</v>
      </c>
      <c r="G1900" s="1905" t="e">
        <f t="shared" si="400"/>
        <v>#DIV/0!</v>
      </c>
      <c r="H1900" s="1635">
        <f t="shared" si="401"/>
        <v>0</v>
      </c>
    </row>
    <row r="1901" spans="1:23" ht="43.5" customHeight="1">
      <c r="A1901" s="1666"/>
      <c r="B1901" s="1745"/>
      <c r="C1901" s="2530" t="s">
        <v>900</v>
      </c>
      <c r="D1901" s="2526" t="s">
        <v>905</v>
      </c>
      <c r="E1901" s="2452">
        <v>153606</v>
      </c>
      <c r="F1901" s="1904">
        <f t="shared" ref="F1901:F1905" si="403">H1901</f>
        <v>259097</v>
      </c>
      <c r="G1901" s="2453">
        <f>F1901/E1901</f>
        <v>1.6867635378826349</v>
      </c>
      <c r="H1901" s="1635">
        <f t="shared" si="401"/>
        <v>259097</v>
      </c>
      <c r="W1901" s="1636">
        <v>259097</v>
      </c>
    </row>
    <row r="1902" spans="1:23" ht="55.5" hidden="1" customHeight="1">
      <c r="A1902" s="1666"/>
      <c r="B1902" s="1745"/>
      <c r="C1902" s="2529" t="s">
        <v>423</v>
      </c>
      <c r="D1902" s="1707" t="s">
        <v>974</v>
      </c>
      <c r="E1902" s="2531"/>
      <c r="F1902" s="1904">
        <f t="shared" si="403"/>
        <v>0</v>
      </c>
      <c r="G1902" s="2453" t="e">
        <f>F1902/E1902</f>
        <v>#DIV/0!</v>
      </c>
      <c r="H1902" s="1635">
        <f t="shared" si="401"/>
        <v>0</v>
      </c>
    </row>
    <row r="1903" spans="1:23" ht="54" customHeight="1" thickBot="1">
      <c r="A1903" s="1666"/>
      <c r="B1903" s="2532"/>
      <c r="C1903" s="2533" t="s">
        <v>901</v>
      </c>
      <c r="D1903" s="2534" t="s">
        <v>902</v>
      </c>
      <c r="E1903" s="2535">
        <v>97432</v>
      </c>
      <c r="F1903" s="1904">
        <f t="shared" si="403"/>
        <v>112447</v>
      </c>
      <c r="G1903" s="2536">
        <f t="shared" si="400"/>
        <v>1.1541074800886773</v>
      </c>
      <c r="H1903" s="1635">
        <f t="shared" si="401"/>
        <v>112447</v>
      </c>
      <c r="W1903" s="1636">
        <v>112447</v>
      </c>
    </row>
    <row r="1904" spans="1:23" ht="55.5" hidden="1" customHeight="1">
      <c r="A1904" s="1666"/>
      <c r="B1904" s="1745"/>
      <c r="C1904" s="1702" t="s">
        <v>903</v>
      </c>
      <c r="D1904" s="1998" t="s">
        <v>822</v>
      </c>
      <c r="E1904" s="1749"/>
      <c r="F1904" s="1904">
        <f t="shared" si="403"/>
        <v>0</v>
      </c>
      <c r="G1904" s="1905" t="e">
        <f t="shared" si="400"/>
        <v>#DIV/0!</v>
      </c>
      <c r="H1904" s="1635">
        <f t="shared" si="401"/>
        <v>0</v>
      </c>
    </row>
    <row r="1905" spans="1:32" ht="29.25" hidden="1" customHeight="1" thickBot="1">
      <c r="A1905" s="1666"/>
      <c r="B1905" s="1745"/>
      <c r="C1905" s="2347" t="s">
        <v>594</v>
      </c>
      <c r="D1905" s="2450" t="s">
        <v>1010</v>
      </c>
      <c r="E1905" s="1904">
        <v>6145</v>
      </c>
      <c r="F1905" s="1904">
        <f t="shared" si="403"/>
        <v>0</v>
      </c>
      <c r="G1905" s="1905">
        <f t="shared" si="400"/>
        <v>0</v>
      </c>
      <c r="H1905" s="1635">
        <f t="shared" si="401"/>
        <v>0</v>
      </c>
    </row>
    <row r="1906" spans="1:32" ht="24.75" hidden="1" customHeight="1">
      <c r="A1906" s="1666"/>
      <c r="B1906" s="1678"/>
      <c r="C1906" s="3514" t="s">
        <v>823</v>
      </c>
      <c r="D1906" s="3610"/>
      <c r="E1906" s="1749">
        <f>SUM(E1907:E1910)</f>
        <v>0</v>
      </c>
      <c r="F1906" s="2537">
        <f>SUM(F1907:F1910)</f>
        <v>0</v>
      </c>
      <c r="G1906" s="1750" t="e">
        <f t="shared" si="400"/>
        <v>#DIV/0!</v>
      </c>
      <c r="H1906" s="1635">
        <f t="shared" si="401"/>
        <v>0</v>
      </c>
    </row>
    <row r="1907" spans="1:32" ht="56.25" hidden="1" customHeight="1">
      <c r="A1907" s="1666"/>
      <c r="B1907" s="1678"/>
      <c r="C1907" s="2538" t="s">
        <v>898</v>
      </c>
      <c r="D1907" s="2539" t="s">
        <v>899</v>
      </c>
      <c r="E1907" s="1904"/>
      <c r="F1907" s="2540">
        <f>H1907</f>
        <v>0</v>
      </c>
      <c r="G1907" s="1905" t="e">
        <f t="shared" si="400"/>
        <v>#DIV/0!</v>
      </c>
      <c r="H1907" s="1635">
        <f t="shared" si="401"/>
        <v>0</v>
      </c>
    </row>
    <row r="1908" spans="1:32" ht="57" hidden="1" customHeight="1">
      <c r="A1908" s="1666"/>
      <c r="B1908" s="1678"/>
      <c r="C1908" s="2541" t="s">
        <v>900</v>
      </c>
      <c r="D1908" s="2542" t="s">
        <v>899</v>
      </c>
      <c r="E1908" s="1904"/>
      <c r="F1908" s="2540">
        <f t="shared" ref="F1908:F1910" si="404">H1908</f>
        <v>0</v>
      </c>
      <c r="G1908" s="1905" t="e">
        <f t="shared" si="400"/>
        <v>#DIV/0!</v>
      </c>
      <c r="H1908" s="1635">
        <f t="shared" si="401"/>
        <v>0</v>
      </c>
    </row>
    <row r="1909" spans="1:32" ht="59.25" hidden="1" customHeight="1">
      <c r="A1909" s="1666"/>
      <c r="B1909" s="1678"/>
      <c r="C1909" s="2249" t="s">
        <v>423</v>
      </c>
      <c r="D1909" s="2543" t="s">
        <v>974</v>
      </c>
      <c r="E1909" s="1904"/>
      <c r="F1909" s="2540">
        <f t="shared" si="404"/>
        <v>0</v>
      </c>
      <c r="G1909" s="1905" t="e">
        <f t="shared" si="400"/>
        <v>#DIV/0!</v>
      </c>
      <c r="H1909" s="1635">
        <f t="shared" si="401"/>
        <v>0</v>
      </c>
    </row>
    <row r="1910" spans="1:32" ht="63.75" hidden="1" customHeight="1" thickBot="1">
      <c r="A1910" s="1666"/>
      <c r="B1910" s="1678"/>
      <c r="C1910" s="1812" t="s">
        <v>901</v>
      </c>
      <c r="D1910" s="1813" t="s">
        <v>974</v>
      </c>
      <c r="E1910" s="1904"/>
      <c r="F1910" s="2540">
        <f t="shared" si="404"/>
        <v>0</v>
      </c>
      <c r="G1910" s="1695" t="e">
        <f t="shared" si="400"/>
        <v>#DIV/0!</v>
      </c>
      <c r="H1910" s="1635">
        <f t="shared" si="401"/>
        <v>0</v>
      </c>
    </row>
    <row r="1911" spans="1:32" ht="17.100000000000001" customHeight="1" thickBot="1">
      <c r="A1911" s="1660" t="s">
        <v>49</v>
      </c>
      <c r="B1911" s="1661"/>
      <c r="C1911" s="2544"/>
      <c r="D1911" s="2545" t="s">
        <v>1190</v>
      </c>
      <c r="E1911" s="2252">
        <f>E1912+E1923+E2012</f>
        <v>42734792</v>
      </c>
      <c r="F1911" s="2546">
        <f>F1912+F1923+F2012</f>
        <v>40510484</v>
      </c>
      <c r="G1911" s="2547">
        <f t="shared" si="400"/>
        <v>0.94795088741744671</v>
      </c>
      <c r="H1911" s="1635">
        <f t="shared" si="401"/>
        <v>0</v>
      </c>
      <c r="AF1911" s="2279"/>
    </row>
    <row r="1912" spans="1:32" ht="17.100000000000001" customHeight="1" thickBot="1">
      <c r="A1912" s="1666"/>
      <c r="B1912" s="1734" t="s">
        <v>107</v>
      </c>
      <c r="C1912" s="1893"/>
      <c r="D1912" s="2255" t="s">
        <v>641</v>
      </c>
      <c r="E1912" s="2256">
        <f>E1913+E1920</f>
        <v>2905562</v>
      </c>
      <c r="F1912" s="2548">
        <f t="shared" ref="F1912" si="405">F1913+F1920</f>
        <v>2961118</v>
      </c>
      <c r="G1912" s="2205">
        <f t="shared" si="400"/>
        <v>1.0191205694457732</v>
      </c>
      <c r="H1912" s="1635">
        <f t="shared" si="401"/>
        <v>0</v>
      </c>
      <c r="AF1912" s="2279"/>
    </row>
    <row r="1913" spans="1:32" ht="17.100000000000001" customHeight="1">
      <c r="A1913" s="1666"/>
      <c r="B1913" s="3467"/>
      <c r="C1913" s="3681" t="s">
        <v>755</v>
      </c>
      <c r="D1913" s="3664"/>
      <c r="E1913" s="2257">
        <f t="shared" ref="E1913:F1913" si="406">E1914</f>
        <v>2605562</v>
      </c>
      <c r="F1913" s="2071">
        <f t="shared" si="406"/>
        <v>2961118</v>
      </c>
      <c r="G1913" s="1673">
        <f t="shared" si="400"/>
        <v>1.1364603874327304</v>
      </c>
      <c r="H1913" s="1635">
        <f t="shared" si="401"/>
        <v>0</v>
      </c>
    </row>
    <row r="1914" spans="1:32" ht="17.100000000000001" customHeight="1">
      <c r="A1914" s="1666"/>
      <c r="B1914" s="3467"/>
      <c r="C1914" s="3755" t="s">
        <v>857</v>
      </c>
      <c r="D1914" s="3756"/>
      <c r="E1914" s="2549">
        <f>SUM(E1915:E1918)</f>
        <v>2605562</v>
      </c>
      <c r="F1914" s="1904">
        <f>SUM(F1915:F1918)</f>
        <v>2961118</v>
      </c>
      <c r="G1914" s="1905">
        <f t="shared" si="400"/>
        <v>1.1364603874327304</v>
      </c>
      <c r="H1914" s="1635">
        <f t="shared" si="401"/>
        <v>0</v>
      </c>
    </row>
    <row r="1915" spans="1:32" ht="60" customHeight="1">
      <c r="A1915" s="1666"/>
      <c r="B1915" s="3467"/>
      <c r="C1915" s="2443" t="s">
        <v>409</v>
      </c>
      <c r="D1915" s="2550" t="s">
        <v>876</v>
      </c>
      <c r="E1915" s="2549">
        <v>600000</v>
      </c>
      <c r="F1915" s="1904">
        <f>H1915</f>
        <v>800000</v>
      </c>
      <c r="G1915" s="1905">
        <f t="shared" si="400"/>
        <v>1.3333333333333333</v>
      </c>
      <c r="H1915" s="1635">
        <f t="shared" si="401"/>
        <v>800000</v>
      </c>
      <c r="K1915" s="1636">
        <v>800000</v>
      </c>
    </row>
    <row r="1916" spans="1:32" ht="31.5" customHeight="1">
      <c r="A1916" s="1666"/>
      <c r="B1916" s="1678"/>
      <c r="C1916" s="2443" t="s">
        <v>1191</v>
      </c>
      <c r="D1916" s="2550" t="s">
        <v>1192</v>
      </c>
      <c r="E1916" s="2549">
        <v>111112</v>
      </c>
      <c r="F1916" s="1904">
        <f t="shared" ref="F1916:F1918" si="407">H1916</f>
        <v>111112</v>
      </c>
      <c r="G1916" s="1905">
        <f t="shared" si="400"/>
        <v>1</v>
      </c>
      <c r="H1916" s="1635">
        <f t="shared" si="401"/>
        <v>111112</v>
      </c>
      <c r="K1916" s="1636">
        <v>111112</v>
      </c>
    </row>
    <row r="1917" spans="1:32" ht="33" customHeight="1" thickBot="1">
      <c r="A1917" s="1666"/>
      <c r="B1917" s="1678"/>
      <c r="C1917" s="2551" t="s">
        <v>1193</v>
      </c>
      <c r="D1917" s="2552" t="s">
        <v>1194</v>
      </c>
      <c r="E1917" s="2553">
        <v>1894450</v>
      </c>
      <c r="F1917" s="1904">
        <f t="shared" si="407"/>
        <v>2050006</v>
      </c>
      <c r="G1917" s="2324">
        <f t="shared" si="400"/>
        <v>1.0821114307582675</v>
      </c>
      <c r="H1917" s="1635">
        <f t="shared" si="401"/>
        <v>2050006</v>
      </c>
      <c r="K1917" s="1636">
        <v>2050006</v>
      </c>
    </row>
    <row r="1918" spans="1:32" ht="54" hidden="1" customHeight="1">
      <c r="A1918" s="1666"/>
      <c r="B1918" s="1678"/>
      <c r="C1918" s="2506" t="s">
        <v>359</v>
      </c>
      <c r="D1918" s="2554" t="s">
        <v>885</v>
      </c>
      <c r="E1918" s="2553">
        <v>0</v>
      </c>
      <c r="F1918" s="2555">
        <f t="shared" si="407"/>
        <v>0</v>
      </c>
      <c r="G1918" s="2324" t="e">
        <f t="shared" si="400"/>
        <v>#DIV/0!</v>
      </c>
      <c r="H1918" s="1635">
        <f t="shared" si="401"/>
        <v>0</v>
      </c>
    </row>
    <row r="1919" spans="1:32" ht="17.25" hidden="1" customHeight="1">
      <c r="A1919" s="1666"/>
      <c r="B1919" s="1678"/>
      <c r="C1919" s="2556"/>
      <c r="D1919" s="2444"/>
      <c r="E1919" s="2549"/>
      <c r="F1919" s="2557"/>
      <c r="G1919" s="1905"/>
      <c r="H1919" s="1635">
        <f t="shared" si="401"/>
        <v>0</v>
      </c>
    </row>
    <row r="1920" spans="1:32" ht="17.25" hidden="1" customHeight="1">
      <c r="A1920" s="1666"/>
      <c r="B1920" s="1678"/>
      <c r="C1920" s="3757" t="s">
        <v>810</v>
      </c>
      <c r="D1920" s="3667"/>
      <c r="E1920" s="2257">
        <f>E1921</f>
        <v>300000</v>
      </c>
      <c r="F1920" s="2558">
        <f t="shared" ref="F1920:F1921" si="408">F1921</f>
        <v>0</v>
      </c>
      <c r="G1920" s="1673">
        <f t="shared" si="400"/>
        <v>0</v>
      </c>
      <c r="H1920" s="1635">
        <f t="shared" si="401"/>
        <v>0</v>
      </c>
    </row>
    <row r="1921" spans="1:32" ht="18" hidden="1" customHeight="1">
      <c r="A1921" s="1666"/>
      <c r="B1921" s="1678"/>
      <c r="C1921" s="3758" t="s">
        <v>931</v>
      </c>
      <c r="D1921" s="3759"/>
      <c r="E1921" s="2553">
        <f>E1922</f>
        <v>300000</v>
      </c>
      <c r="F1921" s="2559">
        <f t="shared" si="408"/>
        <v>0</v>
      </c>
      <c r="G1921" s="2324">
        <f t="shared" si="400"/>
        <v>0</v>
      </c>
      <c r="H1921" s="1635">
        <f t="shared" si="401"/>
        <v>0</v>
      </c>
    </row>
    <row r="1922" spans="1:32" ht="52.5" hidden="1" customHeight="1" thickBot="1">
      <c r="A1922" s="1666"/>
      <c r="B1922" s="1678"/>
      <c r="C1922" s="2560" t="s">
        <v>1070</v>
      </c>
      <c r="D1922" s="2561" t="s">
        <v>1195</v>
      </c>
      <c r="E1922" s="2562">
        <v>300000</v>
      </c>
      <c r="F1922" s="2563">
        <f>H1922</f>
        <v>0</v>
      </c>
      <c r="G1922" s="2453">
        <f t="shared" si="400"/>
        <v>0</v>
      </c>
      <c r="H1922" s="1635">
        <f t="shared" si="401"/>
        <v>0</v>
      </c>
    </row>
    <row r="1923" spans="1:32" ht="17.100000000000001" customHeight="1" thickBot="1">
      <c r="A1923" s="1666"/>
      <c r="B1923" s="1734" t="s">
        <v>50</v>
      </c>
      <c r="C1923" s="1735"/>
      <c r="D1923" s="1736" t="s">
        <v>51</v>
      </c>
      <c r="E1923" s="1737">
        <f>E1924+E2002</f>
        <v>31514406</v>
      </c>
      <c r="F1923" s="2564">
        <f>F1924+F2002</f>
        <v>31581385</v>
      </c>
      <c r="G1923" s="1738">
        <f t="shared" si="400"/>
        <v>1.0021253454689896</v>
      </c>
      <c r="H1923" s="1635">
        <f t="shared" si="401"/>
        <v>0</v>
      </c>
      <c r="AF1923" s="2279"/>
    </row>
    <row r="1924" spans="1:32" ht="17.100000000000001" customHeight="1">
      <c r="A1924" s="1666"/>
      <c r="B1924" s="1678"/>
      <c r="C1924" s="3472" t="s">
        <v>755</v>
      </c>
      <c r="D1924" s="3472"/>
      <c r="E1924" s="2115">
        <f t="shared" ref="E1924:F1924" si="409">E1925+E1955+E1959</f>
        <v>31334406</v>
      </c>
      <c r="F1924" s="2071">
        <f t="shared" si="409"/>
        <v>31383385</v>
      </c>
      <c r="G1924" s="1673">
        <f t="shared" si="400"/>
        <v>1.0015631060630286</v>
      </c>
      <c r="H1924" s="1635">
        <f t="shared" si="401"/>
        <v>0</v>
      </c>
    </row>
    <row r="1925" spans="1:32" ht="17.100000000000001" customHeight="1">
      <c r="A1925" s="1666"/>
      <c r="B1925" s="1678"/>
      <c r="C1925" s="3763" t="s">
        <v>756</v>
      </c>
      <c r="D1925" s="3763"/>
      <c r="E1925" s="2565">
        <f t="shared" ref="E1925:F1925" si="410">E1926+E1934</f>
        <v>10834313</v>
      </c>
      <c r="F1925" s="2039">
        <f t="shared" si="410"/>
        <v>11439037</v>
      </c>
      <c r="G1925" s="2324">
        <f t="shared" si="400"/>
        <v>1.0558156294727685</v>
      </c>
      <c r="H1925" s="1635">
        <f t="shared" si="401"/>
        <v>0</v>
      </c>
    </row>
    <row r="1926" spans="1:32" ht="17.100000000000001" customHeight="1">
      <c r="A1926" s="1666"/>
      <c r="B1926" s="1678"/>
      <c r="C1926" s="3764" t="s">
        <v>757</v>
      </c>
      <c r="D1926" s="3764"/>
      <c r="E1926" s="2136">
        <f>SUM(E1927:E1932)</f>
        <v>8731797</v>
      </c>
      <c r="F1926" s="2136">
        <f>SUM(F1927:F1932)</f>
        <v>9273471</v>
      </c>
      <c r="G1926" s="1907">
        <f t="shared" si="400"/>
        <v>1.0620346533479879</v>
      </c>
      <c r="H1926" s="1635">
        <f t="shared" si="401"/>
        <v>0</v>
      </c>
    </row>
    <row r="1927" spans="1:32" ht="17.100000000000001" customHeight="1">
      <c r="A1927" s="1666"/>
      <c r="B1927" s="1678"/>
      <c r="C1927" s="1719" t="s">
        <v>758</v>
      </c>
      <c r="D1927" s="1720" t="s">
        <v>759</v>
      </c>
      <c r="E1927" s="2038">
        <v>6842551</v>
      </c>
      <c r="F1927" s="2039">
        <f>H1927</f>
        <v>7192075</v>
      </c>
      <c r="G1927" s="1750">
        <f t="shared" si="400"/>
        <v>1.0510809491957021</v>
      </c>
      <c r="H1927" s="1635">
        <f t="shared" si="401"/>
        <v>7192075</v>
      </c>
      <c r="X1927" s="1636">
        <v>7192075</v>
      </c>
    </row>
    <row r="1928" spans="1:32" ht="17.100000000000001" customHeight="1">
      <c r="A1928" s="1666"/>
      <c r="B1928" s="1678"/>
      <c r="C1928" s="2327" t="s">
        <v>760</v>
      </c>
      <c r="D1928" s="2328" t="s">
        <v>761</v>
      </c>
      <c r="E1928" s="2038">
        <v>477506</v>
      </c>
      <c r="F1928" s="2039">
        <f t="shared" ref="F1928:F1932" si="411">H1928</f>
        <v>571915</v>
      </c>
      <c r="G1928" s="1750">
        <f t="shared" si="400"/>
        <v>1.1977126988980242</v>
      </c>
      <c r="H1928" s="1635">
        <f t="shared" si="401"/>
        <v>571915</v>
      </c>
      <c r="X1928" s="1636">
        <v>571915</v>
      </c>
    </row>
    <row r="1929" spans="1:32" ht="17.100000000000001" customHeight="1">
      <c r="A1929" s="1666"/>
      <c r="B1929" s="1678"/>
      <c r="C1929" s="2327" t="s">
        <v>762</v>
      </c>
      <c r="D1929" s="2328" t="s">
        <v>763</v>
      </c>
      <c r="E1929" s="2038">
        <v>1209861</v>
      </c>
      <c r="F1929" s="2039">
        <f t="shared" si="411"/>
        <v>1292991</v>
      </c>
      <c r="G1929" s="1750">
        <f t="shared" si="400"/>
        <v>1.0687103725138674</v>
      </c>
      <c r="H1929" s="1635">
        <f t="shared" si="401"/>
        <v>1292991</v>
      </c>
      <c r="X1929" s="1636">
        <v>1292991</v>
      </c>
    </row>
    <row r="1930" spans="1:32" ht="27.75" customHeight="1">
      <c r="A1930" s="1666"/>
      <c r="B1930" s="1678"/>
      <c r="C1930" s="2327" t="s">
        <v>764</v>
      </c>
      <c r="D1930" s="2328" t="s">
        <v>1440</v>
      </c>
      <c r="E1930" s="2038">
        <v>159215</v>
      </c>
      <c r="F1930" s="2039">
        <f t="shared" si="411"/>
        <v>161942</v>
      </c>
      <c r="G1930" s="1750">
        <f t="shared" si="400"/>
        <v>1.0171277831862575</v>
      </c>
      <c r="H1930" s="1635">
        <f t="shared" si="401"/>
        <v>161942</v>
      </c>
      <c r="X1930" s="1636">
        <v>161942</v>
      </c>
    </row>
    <row r="1931" spans="1:32" ht="17.100000000000001" customHeight="1">
      <c r="A1931" s="1666"/>
      <c r="B1931" s="1678"/>
      <c r="C1931" s="2327" t="s">
        <v>766</v>
      </c>
      <c r="D1931" s="2328" t="s">
        <v>767</v>
      </c>
      <c r="E1931" s="2038">
        <v>8320</v>
      </c>
      <c r="F1931" s="2039">
        <f t="shared" si="411"/>
        <v>10860</v>
      </c>
      <c r="G1931" s="1750">
        <f t="shared" si="400"/>
        <v>1.3052884615384615</v>
      </c>
      <c r="H1931" s="1635">
        <f t="shared" si="401"/>
        <v>10860</v>
      </c>
      <c r="X1931" s="1636">
        <v>10860</v>
      </c>
    </row>
    <row r="1932" spans="1:32" ht="17.100000000000001" customHeight="1">
      <c r="A1932" s="1666"/>
      <c r="B1932" s="1678"/>
      <c r="C1932" s="2487" t="s">
        <v>768</v>
      </c>
      <c r="D1932" s="2488" t="s">
        <v>769</v>
      </c>
      <c r="E1932" s="2038">
        <v>34344</v>
      </c>
      <c r="F1932" s="2039">
        <f t="shared" si="411"/>
        <v>43688</v>
      </c>
      <c r="G1932" s="1750">
        <f t="shared" si="400"/>
        <v>1.2720708129513161</v>
      </c>
      <c r="H1932" s="1635">
        <f t="shared" si="401"/>
        <v>43688</v>
      </c>
      <c r="X1932" s="1636">
        <v>43688</v>
      </c>
    </row>
    <row r="1933" spans="1:32" ht="17.100000000000001" customHeight="1">
      <c r="A1933" s="1666"/>
      <c r="B1933" s="1678"/>
      <c r="C1933" s="1699"/>
      <c r="D1933" s="1699"/>
      <c r="E1933" s="1683"/>
      <c r="F1933" s="2039"/>
      <c r="G1933" s="1684"/>
      <c r="H1933" s="1635">
        <f t="shared" si="401"/>
        <v>0</v>
      </c>
    </row>
    <row r="1934" spans="1:32" ht="17.100000000000001" customHeight="1">
      <c r="A1934" s="1666"/>
      <c r="B1934" s="1678"/>
      <c r="C1934" s="3765" t="s">
        <v>770</v>
      </c>
      <c r="D1934" s="3765"/>
      <c r="E1934" s="2136">
        <f t="shared" ref="E1934:F1934" si="412">SUM(E1935:E1953)</f>
        <v>2102516</v>
      </c>
      <c r="F1934" s="2136">
        <f t="shared" si="412"/>
        <v>2165566</v>
      </c>
      <c r="G1934" s="1907">
        <f t="shared" si="400"/>
        <v>1.0299878811861598</v>
      </c>
      <c r="H1934" s="1635">
        <f t="shared" si="401"/>
        <v>0</v>
      </c>
    </row>
    <row r="1935" spans="1:32" ht="17.100000000000001" customHeight="1">
      <c r="A1935" s="1666"/>
      <c r="B1935" s="1678"/>
      <c r="C1935" s="2327" t="s">
        <v>771</v>
      </c>
      <c r="D1935" s="2328" t="s">
        <v>772</v>
      </c>
      <c r="E1935" s="2039">
        <v>6000</v>
      </c>
      <c r="F1935" s="2039">
        <f>H1935</f>
        <v>6000</v>
      </c>
      <c r="G1935" s="1905">
        <f t="shared" si="400"/>
        <v>1</v>
      </c>
      <c r="H1935" s="1635">
        <f t="shared" si="401"/>
        <v>6000</v>
      </c>
      <c r="X1935" s="1636">
        <v>6000</v>
      </c>
    </row>
    <row r="1936" spans="1:32" ht="17.100000000000001" customHeight="1">
      <c r="A1936" s="1666"/>
      <c r="B1936" s="1678"/>
      <c r="C1936" s="2327" t="s">
        <v>773</v>
      </c>
      <c r="D1936" s="2328" t="s">
        <v>774</v>
      </c>
      <c r="E1936" s="2039">
        <v>311950</v>
      </c>
      <c r="F1936" s="2039">
        <f t="shared" ref="F1936:F1953" si="413">H1936</f>
        <v>289750</v>
      </c>
      <c r="G1936" s="1905">
        <f t="shared" si="400"/>
        <v>0.92883474915851905</v>
      </c>
      <c r="H1936" s="1635">
        <f t="shared" si="401"/>
        <v>289750</v>
      </c>
      <c r="X1936" s="1636">
        <v>289750</v>
      </c>
    </row>
    <row r="1937" spans="1:24" ht="17.100000000000001" customHeight="1">
      <c r="A1937" s="1666"/>
      <c r="B1937" s="1678"/>
      <c r="C1937" s="2327" t="s">
        <v>775</v>
      </c>
      <c r="D1937" s="2328" t="s">
        <v>776</v>
      </c>
      <c r="E1937" s="2039">
        <v>6000</v>
      </c>
      <c r="F1937" s="2039">
        <f t="shared" si="413"/>
        <v>6000</v>
      </c>
      <c r="G1937" s="1905">
        <f t="shared" si="400"/>
        <v>1</v>
      </c>
      <c r="H1937" s="1635">
        <f t="shared" si="401"/>
        <v>6000</v>
      </c>
      <c r="X1937" s="1636">
        <v>6000</v>
      </c>
    </row>
    <row r="1938" spans="1:24" ht="17.100000000000001" customHeight="1">
      <c r="A1938" s="1666"/>
      <c r="B1938" s="1678"/>
      <c r="C1938" s="2327" t="s">
        <v>777</v>
      </c>
      <c r="D1938" s="2328" t="s">
        <v>778</v>
      </c>
      <c r="E1938" s="2039">
        <v>122040</v>
      </c>
      <c r="F1938" s="2039">
        <f t="shared" si="413"/>
        <v>138200</v>
      </c>
      <c r="G1938" s="1905">
        <f t="shared" si="400"/>
        <v>1.13241560144215</v>
      </c>
      <c r="H1938" s="1635">
        <f t="shared" ref="H1938:H2001" si="414">SUM(I1938:AE1938)</f>
        <v>138200</v>
      </c>
      <c r="X1938" s="1636">
        <v>138200</v>
      </c>
    </row>
    <row r="1939" spans="1:24" ht="17.100000000000001" customHeight="1">
      <c r="A1939" s="1666"/>
      <c r="B1939" s="1678"/>
      <c r="C1939" s="2327" t="s">
        <v>779</v>
      </c>
      <c r="D1939" s="2328" t="s">
        <v>780</v>
      </c>
      <c r="E1939" s="2039">
        <v>63000</v>
      </c>
      <c r="F1939" s="2039">
        <f t="shared" si="413"/>
        <v>71500</v>
      </c>
      <c r="G1939" s="1905">
        <f t="shared" si="400"/>
        <v>1.1349206349206349</v>
      </c>
      <c r="H1939" s="1635">
        <f t="shared" si="414"/>
        <v>71500</v>
      </c>
      <c r="X1939" s="1636">
        <v>71500</v>
      </c>
    </row>
    <row r="1940" spans="1:24" ht="17.100000000000001" customHeight="1">
      <c r="A1940" s="1666"/>
      <c r="B1940" s="1678"/>
      <c r="C1940" s="2327" t="s">
        <v>781</v>
      </c>
      <c r="D1940" s="2328" t="s">
        <v>782</v>
      </c>
      <c r="E1940" s="2039">
        <v>10230</v>
      </c>
      <c r="F1940" s="2039">
        <f t="shared" si="413"/>
        <v>7517</v>
      </c>
      <c r="G1940" s="1905">
        <f t="shared" si="400"/>
        <v>0.73479960899315733</v>
      </c>
      <c r="H1940" s="1635">
        <f t="shared" si="414"/>
        <v>7517</v>
      </c>
      <c r="X1940" s="1636">
        <v>7517</v>
      </c>
    </row>
    <row r="1941" spans="1:24" ht="17.100000000000001" customHeight="1">
      <c r="A1941" s="1666"/>
      <c r="B1941" s="1678"/>
      <c r="C1941" s="2327" t="s">
        <v>783</v>
      </c>
      <c r="D1941" s="2328" t="s">
        <v>784</v>
      </c>
      <c r="E1941" s="2039">
        <v>708676</v>
      </c>
      <c r="F1941" s="2039">
        <f t="shared" si="413"/>
        <v>731462</v>
      </c>
      <c r="G1941" s="1905">
        <f t="shared" si="400"/>
        <v>1.0321529161422145</v>
      </c>
      <c r="H1941" s="1635">
        <f t="shared" si="414"/>
        <v>731462</v>
      </c>
      <c r="X1941" s="1636">
        <v>731462</v>
      </c>
    </row>
    <row r="1942" spans="1:24" ht="16.5" customHeight="1">
      <c r="A1942" s="1666"/>
      <c r="B1942" s="1678"/>
      <c r="C1942" s="2327" t="s">
        <v>785</v>
      </c>
      <c r="D1942" s="2328" t="s">
        <v>786</v>
      </c>
      <c r="E1942" s="2039">
        <v>33800</v>
      </c>
      <c r="F1942" s="2039">
        <f t="shared" si="413"/>
        <v>44400</v>
      </c>
      <c r="G1942" s="1905">
        <f t="shared" si="400"/>
        <v>1.3136094674556213</v>
      </c>
      <c r="H1942" s="1635">
        <f t="shared" si="414"/>
        <v>44400</v>
      </c>
      <c r="X1942" s="1636">
        <v>44400</v>
      </c>
    </row>
    <row r="1943" spans="1:24" ht="16.5" customHeight="1" thickBot="1">
      <c r="A1943" s="1792"/>
      <c r="B1943" s="3183"/>
      <c r="C1943" s="3081" t="s">
        <v>950</v>
      </c>
      <c r="D1943" s="3082" t="s">
        <v>951</v>
      </c>
      <c r="E1943" s="2107">
        <v>1000</v>
      </c>
      <c r="F1943" s="2107">
        <f t="shared" si="413"/>
        <v>500</v>
      </c>
      <c r="G1943" s="1905">
        <f t="shared" si="400"/>
        <v>0.5</v>
      </c>
      <c r="H1943" s="1635">
        <f t="shared" si="414"/>
        <v>500</v>
      </c>
      <c r="X1943" s="1636">
        <v>500</v>
      </c>
    </row>
    <row r="1944" spans="1:24" ht="16.5" customHeight="1">
      <c r="A1944" s="1666"/>
      <c r="B1944" s="1678"/>
      <c r="C1944" s="3076" t="s">
        <v>787</v>
      </c>
      <c r="D1944" s="3077" t="s">
        <v>788</v>
      </c>
      <c r="E1944" s="3083">
        <v>5500</v>
      </c>
      <c r="F1944" s="3083">
        <f t="shared" si="413"/>
        <v>7000</v>
      </c>
      <c r="G1944" s="1905">
        <f t="shared" si="400"/>
        <v>1.2727272727272727</v>
      </c>
      <c r="H1944" s="1635">
        <f t="shared" si="414"/>
        <v>7000</v>
      </c>
      <c r="X1944" s="1636">
        <v>7000</v>
      </c>
    </row>
    <row r="1945" spans="1:24" ht="25.5" customHeight="1">
      <c r="A1945" s="1666"/>
      <c r="B1945" s="1678"/>
      <c r="C1945" s="2489" t="s">
        <v>789</v>
      </c>
      <c r="D1945" s="2490" t="s">
        <v>790</v>
      </c>
      <c r="E1945" s="2039">
        <v>101605</v>
      </c>
      <c r="F1945" s="2039">
        <f t="shared" si="413"/>
        <v>113700</v>
      </c>
      <c r="G1945" s="1905">
        <f t="shared" si="400"/>
        <v>1.1190394173515084</v>
      </c>
      <c r="H1945" s="1635">
        <f t="shared" si="414"/>
        <v>113700</v>
      </c>
      <c r="X1945" s="1636">
        <v>113700</v>
      </c>
    </row>
    <row r="1946" spans="1:24" ht="17.100000000000001" customHeight="1">
      <c r="A1946" s="1666"/>
      <c r="B1946" s="1678"/>
      <c r="C1946" s="2347" t="s">
        <v>791</v>
      </c>
      <c r="D1946" s="2450" t="s">
        <v>792</v>
      </c>
      <c r="E1946" s="2039">
        <v>39200</v>
      </c>
      <c r="F1946" s="2039">
        <f t="shared" si="413"/>
        <v>35200</v>
      </c>
      <c r="G1946" s="1905">
        <f t="shared" si="400"/>
        <v>0.89795918367346939</v>
      </c>
      <c r="H1946" s="1635">
        <f t="shared" si="414"/>
        <v>35200</v>
      </c>
      <c r="X1946" s="1636">
        <v>35200</v>
      </c>
    </row>
    <row r="1947" spans="1:24" ht="17.100000000000001" customHeight="1">
      <c r="A1947" s="1666"/>
      <c r="B1947" s="1678"/>
      <c r="C1947" s="1719" t="s">
        <v>927</v>
      </c>
      <c r="D1947" s="1720" t="s">
        <v>928</v>
      </c>
      <c r="E1947" s="2039">
        <v>1000</v>
      </c>
      <c r="F1947" s="2039">
        <f t="shared" si="413"/>
        <v>1000</v>
      </c>
      <c r="G1947" s="1905">
        <f t="shared" si="400"/>
        <v>1</v>
      </c>
      <c r="H1947" s="1635">
        <f t="shared" si="414"/>
        <v>1000</v>
      </c>
      <c r="X1947" s="1636">
        <v>1000</v>
      </c>
    </row>
    <row r="1948" spans="1:24" ht="17.100000000000001" customHeight="1">
      <c r="A1948" s="1666"/>
      <c r="B1948" s="1678"/>
      <c r="C1948" s="2327" t="s">
        <v>793</v>
      </c>
      <c r="D1948" s="2328" t="s">
        <v>794</v>
      </c>
      <c r="E1948" s="2039">
        <v>25300</v>
      </c>
      <c r="F1948" s="2039">
        <f t="shared" si="413"/>
        <v>27200</v>
      </c>
      <c r="G1948" s="1905">
        <f t="shared" si="400"/>
        <v>1.075098814229249</v>
      </c>
      <c r="H1948" s="1635">
        <f t="shared" si="414"/>
        <v>27200</v>
      </c>
      <c r="X1948" s="1636">
        <v>27200</v>
      </c>
    </row>
    <row r="1949" spans="1:24" ht="17.100000000000001" customHeight="1">
      <c r="A1949" s="1666"/>
      <c r="B1949" s="1678"/>
      <c r="C1949" s="2327" t="s">
        <v>795</v>
      </c>
      <c r="D1949" s="2328" t="s">
        <v>796</v>
      </c>
      <c r="E1949" s="2039">
        <v>486600</v>
      </c>
      <c r="F1949" s="2039">
        <f t="shared" si="413"/>
        <v>501077</v>
      </c>
      <c r="G1949" s="1905">
        <f t="shared" si="400"/>
        <v>1.0297513357994246</v>
      </c>
      <c r="H1949" s="1635">
        <f t="shared" si="414"/>
        <v>501077</v>
      </c>
      <c r="X1949" s="1636">
        <v>501077</v>
      </c>
    </row>
    <row r="1950" spans="1:24" ht="17.100000000000001" customHeight="1">
      <c r="A1950" s="1666"/>
      <c r="B1950" s="1678"/>
      <c r="C1950" s="2327" t="s">
        <v>797</v>
      </c>
      <c r="D1950" s="2328" t="s">
        <v>798</v>
      </c>
      <c r="E1950" s="2039">
        <v>26155</v>
      </c>
      <c r="F1950" s="2039">
        <f t="shared" si="413"/>
        <v>27000</v>
      </c>
      <c r="G1950" s="1905">
        <f t="shared" ref="G1950:G2017" si="415">F1950/E1950</f>
        <v>1.0323073982030204</v>
      </c>
      <c r="H1950" s="1635">
        <f t="shared" si="414"/>
        <v>27000</v>
      </c>
      <c r="X1950" s="1636">
        <v>27000</v>
      </c>
    </row>
    <row r="1951" spans="1:24" ht="17.100000000000001" customHeight="1">
      <c r="A1951" s="1666"/>
      <c r="B1951" s="1678"/>
      <c r="C1951" s="2327" t="s">
        <v>801</v>
      </c>
      <c r="D1951" s="2328" t="s">
        <v>802</v>
      </c>
      <c r="E1951" s="2039">
        <v>85960</v>
      </c>
      <c r="F1951" s="2039">
        <f t="shared" si="413"/>
        <v>92760</v>
      </c>
      <c r="G1951" s="1905">
        <f t="shared" si="415"/>
        <v>1.0791065611912518</v>
      </c>
      <c r="H1951" s="1635">
        <f t="shared" si="414"/>
        <v>92760</v>
      </c>
      <c r="X1951" s="1636">
        <v>92760</v>
      </c>
    </row>
    <row r="1952" spans="1:24" ht="17.100000000000001" customHeight="1">
      <c r="A1952" s="1666"/>
      <c r="B1952" s="1678"/>
      <c r="C1952" s="2327" t="s">
        <v>874</v>
      </c>
      <c r="D1952" s="2328" t="s">
        <v>875</v>
      </c>
      <c r="E1952" s="2039">
        <v>13500</v>
      </c>
      <c r="F1952" s="2039">
        <f t="shared" si="413"/>
        <v>4500</v>
      </c>
      <c r="G1952" s="1905">
        <f t="shared" si="415"/>
        <v>0.33333333333333331</v>
      </c>
      <c r="H1952" s="1635">
        <f t="shared" si="414"/>
        <v>4500</v>
      </c>
      <c r="X1952" s="1636">
        <v>4500</v>
      </c>
    </row>
    <row r="1953" spans="1:24" ht="17.25" customHeight="1">
      <c r="A1953" s="1666"/>
      <c r="B1953" s="1678"/>
      <c r="C1953" s="2327" t="s">
        <v>805</v>
      </c>
      <c r="D1953" s="2328" t="s">
        <v>806</v>
      </c>
      <c r="E1953" s="2039">
        <v>55000</v>
      </c>
      <c r="F1953" s="2039">
        <f t="shared" si="413"/>
        <v>60800</v>
      </c>
      <c r="G1953" s="1905">
        <f t="shared" si="415"/>
        <v>1.1054545454545455</v>
      </c>
      <c r="H1953" s="1635">
        <f t="shared" si="414"/>
        <v>60800</v>
      </c>
      <c r="X1953" s="1636">
        <v>60800</v>
      </c>
    </row>
    <row r="1954" spans="1:24" ht="17.100000000000001" customHeight="1">
      <c r="A1954" s="1666"/>
      <c r="B1954" s="1678"/>
      <c r="C1954" s="2566"/>
      <c r="D1954" s="2566"/>
      <c r="E1954" s="2567"/>
      <c r="F1954" s="2039"/>
      <c r="G1954" s="1689"/>
      <c r="H1954" s="1635">
        <f t="shared" si="414"/>
        <v>0</v>
      </c>
    </row>
    <row r="1955" spans="1:24" ht="17.100000000000001" customHeight="1">
      <c r="A1955" s="1666"/>
      <c r="B1955" s="1678"/>
      <c r="C1955" s="3731" t="s">
        <v>807</v>
      </c>
      <c r="D1955" s="3731"/>
      <c r="E1955" s="2039">
        <f t="shared" ref="E1955:F1955" si="416">E1956+E1957</f>
        <v>20530</v>
      </c>
      <c r="F1955" s="2039">
        <f t="shared" si="416"/>
        <v>20630</v>
      </c>
      <c r="G1955" s="1905">
        <f t="shared" si="415"/>
        <v>1.0048709206039941</v>
      </c>
      <c r="H1955" s="1635">
        <f t="shared" si="414"/>
        <v>0</v>
      </c>
    </row>
    <row r="1956" spans="1:24" ht="17.100000000000001" customHeight="1">
      <c r="A1956" s="1666"/>
      <c r="B1956" s="1678"/>
      <c r="C1956" s="2489" t="s">
        <v>808</v>
      </c>
      <c r="D1956" s="2490" t="s">
        <v>809</v>
      </c>
      <c r="E1956" s="2565">
        <v>18200</v>
      </c>
      <c r="F1956" s="2039">
        <f>H1956</f>
        <v>19500</v>
      </c>
      <c r="G1956" s="2324">
        <f t="shared" si="415"/>
        <v>1.0714285714285714</v>
      </c>
      <c r="H1956" s="1635">
        <f t="shared" si="414"/>
        <v>19500</v>
      </c>
      <c r="X1956" s="1636">
        <v>19500</v>
      </c>
    </row>
    <row r="1957" spans="1:24" ht="17.100000000000001" customHeight="1">
      <c r="A1957" s="1666"/>
      <c r="B1957" s="1678"/>
      <c r="C1957" s="2568" t="s">
        <v>1014</v>
      </c>
      <c r="D1957" s="2528" t="s">
        <v>1021</v>
      </c>
      <c r="E1957" s="2039">
        <v>2330</v>
      </c>
      <c r="F1957" s="2039">
        <f>H1957</f>
        <v>1130</v>
      </c>
      <c r="G1957" s="1905">
        <f t="shared" si="415"/>
        <v>0.48497854077253216</v>
      </c>
      <c r="H1957" s="1635">
        <f t="shared" si="414"/>
        <v>1130</v>
      </c>
      <c r="X1957" s="1636">
        <v>1130</v>
      </c>
    </row>
    <row r="1958" spans="1:24" ht="17.100000000000001" customHeight="1">
      <c r="A1958" s="1666"/>
      <c r="B1958" s="1678"/>
      <c r="C1958" s="2566"/>
      <c r="D1958" s="2566"/>
      <c r="E1958" s="2567"/>
      <c r="F1958" s="2039"/>
      <c r="G1958" s="1689"/>
      <c r="H1958" s="1635">
        <f t="shared" si="414"/>
        <v>0</v>
      </c>
    </row>
    <row r="1959" spans="1:24" ht="17.100000000000001" customHeight="1">
      <c r="A1959" s="1666"/>
      <c r="B1959" s="1678"/>
      <c r="C1959" s="3766" t="s">
        <v>825</v>
      </c>
      <c r="D1959" s="3767"/>
      <c r="E1959" s="2039">
        <f>SUM(E1960:E2000)</f>
        <v>20479563</v>
      </c>
      <c r="F1959" s="2039">
        <f>SUM(F1960:F2000)</f>
        <v>19923718</v>
      </c>
      <c r="G1959" s="1905">
        <f t="shared" si="415"/>
        <v>0.97285855171812019</v>
      </c>
      <c r="H1959" s="1635">
        <f t="shared" si="414"/>
        <v>0</v>
      </c>
    </row>
    <row r="1960" spans="1:24" ht="17.100000000000001" hidden="1" customHeight="1">
      <c r="A1960" s="1666"/>
      <c r="B1960" s="1678"/>
      <c r="C1960" s="1872" t="s">
        <v>1048</v>
      </c>
      <c r="D1960" s="2569" t="s">
        <v>917</v>
      </c>
      <c r="E1960" s="2039">
        <f>112+111</f>
        <v>223</v>
      </c>
      <c r="F1960" s="2039">
        <f>H1960</f>
        <v>0</v>
      </c>
      <c r="G1960" s="1905">
        <f t="shared" si="415"/>
        <v>0</v>
      </c>
      <c r="H1960" s="1635">
        <f t="shared" si="414"/>
        <v>0</v>
      </c>
    </row>
    <row r="1961" spans="1:24" ht="16.5" customHeight="1">
      <c r="A1961" s="1666"/>
      <c r="B1961" s="1678"/>
      <c r="C1961" s="2327" t="s">
        <v>1018</v>
      </c>
      <c r="D1961" s="1707" t="s">
        <v>809</v>
      </c>
      <c r="E1961" s="2039">
        <f>11900+5900</f>
        <v>17800</v>
      </c>
      <c r="F1961" s="2039">
        <f t="shared" ref="F1961:F2000" si="417">H1961</f>
        <v>17800</v>
      </c>
      <c r="G1961" s="1905">
        <f t="shared" si="415"/>
        <v>1</v>
      </c>
      <c r="H1961" s="1635">
        <f t="shared" si="414"/>
        <v>17800</v>
      </c>
      <c r="W1961" s="1636">
        <v>11900</v>
      </c>
      <c r="X1961" s="1636">
        <v>5900</v>
      </c>
    </row>
    <row r="1962" spans="1:24" ht="16.5" customHeight="1">
      <c r="A1962" s="1666"/>
      <c r="B1962" s="1678"/>
      <c r="C1962" s="2434" t="s">
        <v>1019</v>
      </c>
      <c r="D1962" s="2435" t="s">
        <v>809</v>
      </c>
      <c r="E1962" s="2039">
        <f>2100+1100</f>
        <v>3200</v>
      </c>
      <c r="F1962" s="2039">
        <f t="shared" si="417"/>
        <v>3200</v>
      </c>
      <c r="G1962" s="1905">
        <f t="shared" si="415"/>
        <v>1</v>
      </c>
      <c r="H1962" s="1635">
        <f t="shared" si="414"/>
        <v>3200</v>
      </c>
      <c r="W1962" s="1636">
        <v>2100</v>
      </c>
      <c r="X1962" s="1636">
        <v>1100</v>
      </c>
    </row>
    <row r="1963" spans="1:24" ht="17.100000000000001" customHeight="1">
      <c r="A1963" s="1666"/>
      <c r="B1963" s="1678"/>
      <c r="C1963" s="1795" t="s">
        <v>828</v>
      </c>
      <c r="D1963" s="2022" t="s">
        <v>759</v>
      </c>
      <c r="E1963" s="2038">
        <f>9818237+2619401</f>
        <v>12437638</v>
      </c>
      <c r="F1963" s="2039">
        <f t="shared" si="417"/>
        <v>12246974</v>
      </c>
      <c r="G1963" s="1750">
        <f t="shared" si="415"/>
        <v>0.98467040124499527</v>
      </c>
      <c r="H1963" s="1635">
        <f t="shared" si="414"/>
        <v>12246974</v>
      </c>
      <c r="W1963" s="1636">
        <v>9785579</v>
      </c>
      <c r="X1963" s="1636">
        <v>2461395</v>
      </c>
    </row>
    <row r="1964" spans="1:24" ht="17.100000000000001" customHeight="1">
      <c r="A1964" s="1666"/>
      <c r="B1964" s="1678"/>
      <c r="C1964" s="1719" t="s">
        <v>829</v>
      </c>
      <c r="D1964" s="2328" t="s">
        <v>759</v>
      </c>
      <c r="E1964" s="2039">
        <f>1732630+488574</f>
        <v>2221204</v>
      </c>
      <c r="F1964" s="2039">
        <f t="shared" si="417"/>
        <v>2185969</v>
      </c>
      <c r="G1964" s="1905">
        <f t="shared" si="415"/>
        <v>0.98413698156495311</v>
      </c>
      <c r="H1964" s="1635">
        <f t="shared" si="414"/>
        <v>2185969</v>
      </c>
      <c r="W1964" s="1636">
        <v>1726867</v>
      </c>
      <c r="X1964" s="1636">
        <v>459102</v>
      </c>
    </row>
    <row r="1965" spans="1:24" ht="17.100000000000001" customHeight="1">
      <c r="A1965" s="1666"/>
      <c r="B1965" s="1678"/>
      <c r="C1965" s="2327" t="s">
        <v>830</v>
      </c>
      <c r="D1965" s="2328" t="s">
        <v>761</v>
      </c>
      <c r="E1965" s="2039">
        <f>635599+161840</f>
        <v>797439</v>
      </c>
      <c r="F1965" s="2039">
        <f t="shared" si="417"/>
        <v>802291</v>
      </c>
      <c r="G1965" s="1905">
        <f t="shared" si="415"/>
        <v>1.0060844779349893</v>
      </c>
      <c r="H1965" s="1635">
        <f t="shared" si="414"/>
        <v>802291</v>
      </c>
      <c r="W1965" s="1636">
        <v>633759</v>
      </c>
      <c r="X1965" s="1636">
        <v>168532</v>
      </c>
    </row>
    <row r="1966" spans="1:24" ht="17.100000000000001" customHeight="1">
      <c r="A1966" s="1666"/>
      <c r="B1966" s="1678"/>
      <c r="C1966" s="2327" t="s">
        <v>831</v>
      </c>
      <c r="D1966" s="2328" t="s">
        <v>761</v>
      </c>
      <c r="E1966" s="2039">
        <f>112164+30186</f>
        <v>142350</v>
      </c>
      <c r="F1966" s="2039">
        <f t="shared" si="417"/>
        <v>143275</v>
      </c>
      <c r="G1966" s="1905">
        <f t="shared" si="415"/>
        <v>1.0064980681419038</v>
      </c>
      <c r="H1966" s="1635">
        <f t="shared" si="414"/>
        <v>143275</v>
      </c>
      <c r="W1966" s="1636">
        <v>111840</v>
      </c>
      <c r="X1966" s="1636">
        <v>31435</v>
      </c>
    </row>
    <row r="1967" spans="1:24" ht="17.100000000000001" customHeight="1">
      <c r="A1967" s="1666"/>
      <c r="B1967" s="1678"/>
      <c r="C1967" s="2327" t="s">
        <v>832</v>
      </c>
      <c r="D1967" s="2328" t="s">
        <v>763</v>
      </c>
      <c r="E1967" s="2039">
        <f>1797015+478096</f>
        <v>2275111</v>
      </c>
      <c r="F1967" s="2039">
        <f t="shared" si="417"/>
        <v>2243170</v>
      </c>
      <c r="G1967" s="1905">
        <f t="shared" si="415"/>
        <v>0.98596068499514966</v>
      </c>
      <c r="H1967" s="1635">
        <f t="shared" si="414"/>
        <v>2243170</v>
      </c>
      <c r="W1967" s="1636">
        <v>1791085</v>
      </c>
      <c r="X1967" s="1636">
        <v>452085</v>
      </c>
    </row>
    <row r="1968" spans="1:24" ht="17.100000000000001" customHeight="1">
      <c r="A1968" s="1666"/>
      <c r="B1968" s="1678"/>
      <c r="C1968" s="2327" t="s">
        <v>833</v>
      </c>
      <c r="D1968" s="2328" t="s">
        <v>763</v>
      </c>
      <c r="E1968" s="2039">
        <f>317120+89174</f>
        <v>406294</v>
      </c>
      <c r="F1968" s="2039">
        <f t="shared" si="417"/>
        <v>400397</v>
      </c>
      <c r="G1968" s="1905">
        <f t="shared" si="415"/>
        <v>0.98548587968318513</v>
      </c>
      <c r="H1968" s="1635">
        <f t="shared" si="414"/>
        <v>400397</v>
      </c>
      <c r="W1968" s="1636">
        <v>316073</v>
      </c>
      <c r="X1968" s="1636">
        <v>84324</v>
      </c>
    </row>
    <row r="1969" spans="1:24" ht="27" customHeight="1">
      <c r="A1969" s="1666"/>
      <c r="B1969" s="1678"/>
      <c r="C1969" s="2327" t="s">
        <v>834</v>
      </c>
      <c r="D1969" s="2328" t="s">
        <v>1440</v>
      </c>
      <c r="E1969" s="2039">
        <f>256119+68140</f>
        <v>324259</v>
      </c>
      <c r="F1969" s="2039">
        <f t="shared" si="417"/>
        <v>319707</v>
      </c>
      <c r="G1969" s="1905">
        <f t="shared" si="415"/>
        <v>0.98596183914710156</v>
      </c>
      <c r="H1969" s="1635">
        <f t="shared" si="414"/>
        <v>319707</v>
      </c>
      <c r="W1969" s="1636">
        <v>255274</v>
      </c>
      <c r="X1969" s="1636">
        <v>64433</v>
      </c>
    </row>
    <row r="1970" spans="1:24" ht="26.25" customHeight="1">
      <c r="A1970" s="1666"/>
      <c r="B1970" s="1678"/>
      <c r="C1970" s="2327" t="s">
        <v>835</v>
      </c>
      <c r="D1970" s="2328" t="s">
        <v>1440</v>
      </c>
      <c r="E1970" s="2039">
        <f>45198+12711</f>
        <v>57909</v>
      </c>
      <c r="F1970" s="2039">
        <f t="shared" si="417"/>
        <v>57066</v>
      </c>
      <c r="G1970" s="1905">
        <f t="shared" si="415"/>
        <v>0.985442677304046</v>
      </c>
      <c r="H1970" s="1635">
        <f t="shared" si="414"/>
        <v>57066</v>
      </c>
      <c r="W1970" s="1636">
        <v>45048</v>
      </c>
      <c r="X1970" s="1636">
        <v>12018</v>
      </c>
    </row>
    <row r="1971" spans="1:24" ht="17.100000000000001" customHeight="1">
      <c r="A1971" s="1666"/>
      <c r="B1971" s="1678"/>
      <c r="C1971" s="2327" t="s">
        <v>836</v>
      </c>
      <c r="D1971" s="2328" t="s">
        <v>767</v>
      </c>
      <c r="E1971" s="2039">
        <f>15130+3371</f>
        <v>18501</v>
      </c>
      <c r="F1971" s="2039">
        <f t="shared" si="417"/>
        <v>1700</v>
      </c>
      <c r="G1971" s="1905">
        <f t="shared" si="415"/>
        <v>9.1886925031079397E-2</v>
      </c>
      <c r="H1971" s="1635">
        <f t="shared" si="414"/>
        <v>1700</v>
      </c>
      <c r="W1971" s="1636">
        <v>1700</v>
      </c>
      <c r="X1971" s="1636">
        <v>0</v>
      </c>
    </row>
    <row r="1972" spans="1:24" ht="17.100000000000001" customHeight="1">
      <c r="A1972" s="1666"/>
      <c r="B1972" s="1678"/>
      <c r="C1972" s="2327" t="s">
        <v>837</v>
      </c>
      <c r="D1972" s="2328" t="s">
        <v>767</v>
      </c>
      <c r="E1972" s="2039">
        <f>2670+629</f>
        <v>3299</v>
      </c>
      <c r="F1972" s="2039">
        <f t="shared" si="417"/>
        <v>300</v>
      </c>
      <c r="G1972" s="1905">
        <f t="shared" si="415"/>
        <v>9.0936647468929974E-2</v>
      </c>
      <c r="H1972" s="1635">
        <f t="shared" si="414"/>
        <v>300</v>
      </c>
      <c r="W1972" s="1636">
        <v>300</v>
      </c>
      <c r="X1972" s="1636">
        <v>0</v>
      </c>
    </row>
    <row r="1973" spans="1:24" ht="17.100000000000001" customHeight="1">
      <c r="A1973" s="1666"/>
      <c r="B1973" s="1678"/>
      <c r="C1973" s="2327" t="s">
        <v>841</v>
      </c>
      <c r="D1973" s="2328" t="s">
        <v>774</v>
      </c>
      <c r="E1973" s="2039">
        <f>215900+66076</f>
        <v>281976</v>
      </c>
      <c r="F1973" s="2039">
        <f t="shared" si="417"/>
        <v>266625</v>
      </c>
      <c r="G1973" s="1905">
        <f t="shared" si="415"/>
        <v>0.94555919652736398</v>
      </c>
      <c r="H1973" s="1635">
        <f t="shared" si="414"/>
        <v>266625</v>
      </c>
      <c r="W1973" s="1636">
        <v>194650</v>
      </c>
      <c r="X1973" s="1636">
        <v>71975</v>
      </c>
    </row>
    <row r="1974" spans="1:24" ht="17.100000000000001" customHeight="1">
      <c r="A1974" s="1666"/>
      <c r="B1974" s="1678"/>
      <c r="C1974" s="2327" t="s">
        <v>842</v>
      </c>
      <c r="D1974" s="2328" t="s">
        <v>774</v>
      </c>
      <c r="E1974" s="2039">
        <f>38100+12324</f>
        <v>50424</v>
      </c>
      <c r="F1974" s="2039">
        <f t="shared" si="417"/>
        <v>47775</v>
      </c>
      <c r="G1974" s="1905">
        <f t="shared" si="415"/>
        <v>0.94746549262256063</v>
      </c>
      <c r="H1974" s="1635">
        <f t="shared" si="414"/>
        <v>47775</v>
      </c>
      <c r="W1974" s="1636">
        <v>34350</v>
      </c>
      <c r="X1974" s="1636">
        <v>13425</v>
      </c>
    </row>
    <row r="1975" spans="1:24" ht="17.100000000000001" customHeight="1">
      <c r="A1975" s="1666"/>
      <c r="B1975" s="1678"/>
      <c r="C1975" s="2327" t="s">
        <v>1023</v>
      </c>
      <c r="D1975" s="2328" t="s">
        <v>778</v>
      </c>
      <c r="E1975" s="2039">
        <f>123250+25284</f>
        <v>148534</v>
      </c>
      <c r="F1975" s="2039">
        <f t="shared" si="417"/>
        <v>158106</v>
      </c>
      <c r="G1975" s="1905">
        <f t="shared" si="415"/>
        <v>1.0644431577955216</v>
      </c>
      <c r="H1975" s="1635">
        <f t="shared" si="414"/>
        <v>158106</v>
      </c>
      <c r="W1975" s="1636">
        <v>119000</v>
      </c>
      <c r="X1975" s="1636">
        <v>39106</v>
      </c>
    </row>
    <row r="1976" spans="1:24" ht="17.100000000000001" customHeight="1">
      <c r="A1976" s="1666"/>
      <c r="B1976" s="1678"/>
      <c r="C1976" s="2327" t="s">
        <v>1024</v>
      </c>
      <c r="D1976" s="2328" t="s">
        <v>778</v>
      </c>
      <c r="E1976" s="2039">
        <f>21750+4716</f>
        <v>26466</v>
      </c>
      <c r="F1976" s="2039">
        <f t="shared" si="417"/>
        <v>28294</v>
      </c>
      <c r="G1976" s="1905">
        <f t="shared" si="415"/>
        <v>1.0690697498677548</v>
      </c>
      <c r="H1976" s="1635">
        <f t="shared" si="414"/>
        <v>28294</v>
      </c>
      <c r="W1976" s="1636">
        <v>21000</v>
      </c>
      <c r="X1976" s="1636">
        <v>7294</v>
      </c>
    </row>
    <row r="1977" spans="1:24" ht="17.100000000000001" customHeight="1">
      <c r="A1977" s="1666"/>
      <c r="B1977" s="1678"/>
      <c r="C1977" s="2489" t="s">
        <v>843</v>
      </c>
      <c r="D1977" s="2490" t="s">
        <v>780</v>
      </c>
      <c r="E1977" s="2039">
        <f>46750+12136</f>
        <v>58886</v>
      </c>
      <c r="F1977" s="2039">
        <f t="shared" si="417"/>
        <v>54335</v>
      </c>
      <c r="G1977" s="1905">
        <f t="shared" si="415"/>
        <v>0.92271507658866281</v>
      </c>
      <c r="H1977" s="1635">
        <f t="shared" si="414"/>
        <v>54335</v>
      </c>
      <c r="W1977" s="1636">
        <v>46750</v>
      </c>
      <c r="X1977" s="1636">
        <v>7585</v>
      </c>
    </row>
    <row r="1978" spans="1:24" ht="17.100000000000001" customHeight="1">
      <c r="A1978" s="1666"/>
      <c r="B1978" s="1678"/>
      <c r="C1978" s="2489" t="s">
        <v>844</v>
      </c>
      <c r="D1978" s="2490" t="s">
        <v>780</v>
      </c>
      <c r="E1978" s="2039">
        <f>8250+2264</f>
        <v>10514</v>
      </c>
      <c r="F1978" s="2039">
        <f t="shared" si="417"/>
        <v>9665</v>
      </c>
      <c r="G1978" s="1905">
        <f t="shared" si="415"/>
        <v>0.91925052311204114</v>
      </c>
      <c r="H1978" s="1635">
        <f t="shared" si="414"/>
        <v>9665</v>
      </c>
      <c r="W1978" s="1636">
        <v>8250</v>
      </c>
      <c r="X1978" s="1636">
        <v>1415</v>
      </c>
    </row>
    <row r="1979" spans="1:24" ht="17.100000000000001" customHeight="1">
      <c r="A1979" s="1666"/>
      <c r="B1979" s="1678"/>
      <c r="C1979" s="2434" t="s">
        <v>1025</v>
      </c>
      <c r="D1979" s="2435" t="s">
        <v>782</v>
      </c>
      <c r="E1979" s="2039">
        <f>9582+2528</f>
        <v>12110</v>
      </c>
      <c r="F1979" s="2039">
        <f t="shared" si="417"/>
        <v>9825</v>
      </c>
      <c r="G1979" s="1905">
        <f t="shared" si="415"/>
        <v>0.81131296449215529</v>
      </c>
      <c r="H1979" s="1635">
        <f t="shared" si="414"/>
        <v>9825</v>
      </c>
      <c r="W1979" s="1636">
        <v>7718</v>
      </c>
      <c r="X1979" s="1636">
        <v>2107</v>
      </c>
    </row>
    <row r="1980" spans="1:24" ht="17.100000000000001" customHeight="1">
      <c r="A1980" s="1666"/>
      <c r="B1980" s="1678"/>
      <c r="C1980" s="2347" t="s">
        <v>1026</v>
      </c>
      <c r="D1980" s="2450" t="s">
        <v>782</v>
      </c>
      <c r="E1980" s="2039">
        <f>1692+472</f>
        <v>2164</v>
      </c>
      <c r="F1980" s="2039">
        <f t="shared" si="417"/>
        <v>1755</v>
      </c>
      <c r="G1980" s="1905">
        <f t="shared" si="415"/>
        <v>0.81099815157116451</v>
      </c>
      <c r="H1980" s="1635">
        <f t="shared" si="414"/>
        <v>1755</v>
      </c>
      <c r="W1980" s="1636">
        <v>1362</v>
      </c>
      <c r="X1980" s="1636">
        <v>393</v>
      </c>
    </row>
    <row r="1981" spans="1:24" ht="17.100000000000001" customHeight="1">
      <c r="A1981" s="1666"/>
      <c r="B1981" s="1678"/>
      <c r="C1981" s="1719" t="s">
        <v>845</v>
      </c>
      <c r="D1981" s="1720" t="s">
        <v>784</v>
      </c>
      <c r="E1981" s="2039">
        <f>372710+150946</f>
        <v>523656</v>
      </c>
      <c r="F1981" s="2039">
        <f t="shared" si="417"/>
        <v>474093</v>
      </c>
      <c r="G1981" s="1905">
        <f t="shared" si="415"/>
        <v>0.905351986800495</v>
      </c>
      <c r="H1981" s="1635">
        <f t="shared" si="414"/>
        <v>474093</v>
      </c>
      <c r="W1981" s="1636">
        <v>340425</v>
      </c>
      <c r="X1981" s="1636">
        <v>133668</v>
      </c>
    </row>
    <row r="1982" spans="1:24" ht="17.100000000000001" customHeight="1">
      <c r="A1982" s="1666"/>
      <c r="B1982" s="1678"/>
      <c r="C1982" s="2327" t="s">
        <v>846</v>
      </c>
      <c r="D1982" s="2328" t="s">
        <v>784</v>
      </c>
      <c r="E1982" s="2039">
        <f>65773+28154</f>
        <v>93927</v>
      </c>
      <c r="F1982" s="2039">
        <f t="shared" si="417"/>
        <v>85007</v>
      </c>
      <c r="G1982" s="1905">
        <f t="shared" si="415"/>
        <v>0.90503263172463722</v>
      </c>
      <c r="H1982" s="1635">
        <f t="shared" si="414"/>
        <v>85007</v>
      </c>
      <c r="W1982" s="1636">
        <v>60075</v>
      </c>
      <c r="X1982" s="1636">
        <v>24932</v>
      </c>
    </row>
    <row r="1983" spans="1:24" ht="16.5" customHeight="1">
      <c r="A1983" s="1666"/>
      <c r="B1983" s="1678"/>
      <c r="C1983" s="2327" t="s">
        <v>1027</v>
      </c>
      <c r="D1983" s="2328" t="s">
        <v>786</v>
      </c>
      <c r="E1983" s="2039">
        <f>29750+10114</f>
        <v>39864</v>
      </c>
      <c r="F1983" s="2039">
        <f t="shared" si="417"/>
        <v>34807</v>
      </c>
      <c r="G1983" s="1905">
        <f t="shared" si="415"/>
        <v>0.87314368854103952</v>
      </c>
      <c r="H1983" s="1635">
        <f t="shared" si="414"/>
        <v>34807</v>
      </c>
      <c r="W1983" s="1636">
        <v>29750</v>
      </c>
      <c r="X1983" s="1636">
        <v>5057</v>
      </c>
    </row>
    <row r="1984" spans="1:24" ht="16.5" customHeight="1">
      <c r="A1984" s="1666"/>
      <c r="B1984" s="1678"/>
      <c r="C1984" s="2327" t="s">
        <v>1053</v>
      </c>
      <c r="D1984" s="2328" t="s">
        <v>786</v>
      </c>
      <c r="E1984" s="2039">
        <f>5250+1886</f>
        <v>7136</v>
      </c>
      <c r="F1984" s="2039">
        <f t="shared" si="417"/>
        <v>6193</v>
      </c>
      <c r="G1984" s="1905">
        <f t="shared" si="415"/>
        <v>0.86785313901345296</v>
      </c>
      <c r="H1984" s="1635">
        <f t="shared" si="414"/>
        <v>6193</v>
      </c>
      <c r="W1984" s="1636">
        <v>5250</v>
      </c>
      <c r="X1984" s="1636">
        <v>943</v>
      </c>
    </row>
    <row r="1985" spans="1:24" ht="16.5" customHeight="1">
      <c r="A1985" s="1666"/>
      <c r="B1985" s="1678"/>
      <c r="C1985" s="2327" t="s">
        <v>952</v>
      </c>
      <c r="D1985" s="2328" t="s">
        <v>951</v>
      </c>
      <c r="E1985" s="2039">
        <v>421</v>
      </c>
      <c r="F1985" s="2039">
        <f t="shared" si="417"/>
        <v>595</v>
      </c>
      <c r="G1985" s="1905">
        <f t="shared" si="415"/>
        <v>1.4133016627078385</v>
      </c>
      <c r="H1985" s="1635">
        <f t="shared" si="414"/>
        <v>595</v>
      </c>
      <c r="W1985" s="1636">
        <v>595</v>
      </c>
      <c r="X1985" s="1636">
        <v>0</v>
      </c>
    </row>
    <row r="1986" spans="1:24" ht="16.5" customHeight="1">
      <c r="A1986" s="1666"/>
      <c r="B1986" s="1678"/>
      <c r="C1986" s="2327" t="s">
        <v>953</v>
      </c>
      <c r="D1986" s="2328" t="s">
        <v>951</v>
      </c>
      <c r="E1986" s="2039">
        <v>79</v>
      </c>
      <c r="F1986" s="2039">
        <f t="shared" si="417"/>
        <v>105</v>
      </c>
      <c r="G1986" s="1905">
        <f t="shared" si="415"/>
        <v>1.3291139240506329</v>
      </c>
      <c r="H1986" s="1635">
        <f t="shared" si="414"/>
        <v>105</v>
      </c>
      <c r="W1986" s="1636">
        <v>105</v>
      </c>
      <c r="X1986" s="1636">
        <v>0</v>
      </c>
    </row>
    <row r="1987" spans="1:24" ht="16.5" hidden="1" customHeight="1">
      <c r="A1987" s="1666"/>
      <c r="B1987" s="1678"/>
      <c r="C1987" s="2327" t="s">
        <v>847</v>
      </c>
      <c r="D1987" s="2328" t="s">
        <v>788</v>
      </c>
      <c r="E1987" s="2039"/>
      <c r="F1987" s="2039">
        <f t="shared" si="417"/>
        <v>0</v>
      </c>
      <c r="G1987" s="1905" t="e">
        <f t="shared" si="415"/>
        <v>#DIV/0!</v>
      </c>
      <c r="H1987" s="1635">
        <f t="shared" si="414"/>
        <v>0</v>
      </c>
    </row>
    <row r="1988" spans="1:24" ht="16.5" hidden="1" customHeight="1">
      <c r="A1988" s="1666"/>
      <c r="B1988" s="1678"/>
      <c r="C1988" s="2327" t="s">
        <v>848</v>
      </c>
      <c r="D1988" s="2328" t="s">
        <v>788</v>
      </c>
      <c r="E1988" s="2039"/>
      <c r="F1988" s="2039">
        <f t="shared" si="417"/>
        <v>0</v>
      </c>
      <c r="G1988" s="1905" t="e">
        <f t="shared" si="415"/>
        <v>#DIV/0!</v>
      </c>
      <c r="H1988" s="1635">
        <f t="shared" si="414"/>
        <v>0</v>
      </c>
    </row>
    <row r="1989" spans="1:24" ht="24" hidden="1" customHeight="1">
      <c r="A1989" s="1666"/>
      <c r="B1989" s="1678"/>
      <c r="C1989" s="2327" t="s">
        <v>1029</v>
      </c>
      <c r="D1989" s="2328" t="s">
        <v>790</v>
      </c>
      <c r="E1989" s="2039"/>
      <c r="F1989" s="2039">
        <f t="shared" si="417"/>
        <v>0</v>
      </c>
      <c r="G1989" s="1905" t="e">
        <f t="shared" si="415"/>
        <v>#DIV/0!</v>
      </c>
      <c r="H1989" s="1635">
        <f t="shared" si="414"/>
        <v>0</v>
      </c>
    </row>
    <row r="1990" spans="1:24" ht="24.75" hidden="1" customHeight="1">
      <c r="A1990" s="1666"/>
      <c r="B1990" s="1678"/>
      <c r="C1990" s="2327" t="s">
        <v>1030</v>
      </c>
      <c r="D1990" s="2328" t="s">
        <v>790</v>
      </c>
      <c r="E1990" s="2039"/>
      <c r="F1990" s="2039">
        <f t="shared" si="417"/>
        <v>0</v>
      </c>
      <c r="G1990" s="1905" t="e">
        <f t="shared" si="415"/>
        <v>#DIV/0!</v>
      </c>
      <c r="H1990" s="1635">
        <f t="shared" si="414"/>
        <v>0</v>
      </c>
    </row>
    <row r="1991" spans="1:24" ht="17.100000000000001" customHeight="1">
      <c r="A1991" s="1666"/>
      <c r="B1991" s="1678"/>
      <c r="C1991" s="2327" t="s">
        <v>849</v>
      </c>
      <c r="D1991" s="2328" t="s">
        <v>792</v>
      </c>
      <c r="E1991" s="2039">
        <f>46750+15170</f>
        <v>61920</v>
      </c>
      <c r="F1991" s="2039">
        <f t="shared" si="417"/>
        <v>47470</v>
      </c>
      <c r="G1991" s="1905">
        <f t="shared" si="415"/>
        <v>0.76663436692506459</v>
      </c>
      <c r="H1991" s="1635">
        <f t="shared" si="414"/>
        <v>47470</v>
      </c>
      <c r="W1991" s="1636">
        <v>32300</v>
      </c>
      <c r="X1991" s="1636">
        <v>15170</v>
      </c>
    </row>
    <row r="1992" spans="1:24" ht="17.100000000000001" customHeight="1">
      <c r="A1992" s="1666"/>
      <c r="B1992" s="1678"/>
      <c r="C1992" s="2327" t="s">
        <v>850</v>
      </c>
      <c r="D1992" s="2328" t="s">
        <v>792</v>
      </c>
      <c r="E1992" s="2039">
        <f>8250+2830</f>
        <v>11080</v>
      </c>
      <c r="F1992" s="2039">
        <f t="shared" si="417"/>
        <v>8530</v>
      </c>
      <c r="G1992" s="1905">
        <f t="shared" si="415"/>
        <v>0.76985559566786999</v>
      </c>
      <c r="H1992" s="1635">
        <f t="shared" si="414"/>
        <v>8530</v>
      </c>
      <c r="W1992" s="1636">
        <v>5700</v>
      </c>
      <c r="X1992" s="1636">
        <v>2830</v>
      </c>
    </row>
    <row r="1993" spans="1:24" ht="17.100000000000001" hidden="1" customHeight="1">
      <c r="A1993" s="1666"/>
      <c r="B1993" s="1678"/>
      <c r="C1993" s="2327" t="s">
        <v>1031</v>
      </c>
      <c r="D1993" s="2328" t="s">
        <v>802</v>
      </c>
      <c r="E1993" s="2039"/>
      <c r="F1993" s="2039">
        <f t="shared" si="417"/>
        <v>0</v>
      </c>
      <c r="G1993" s="1905" t="e">
        <f t="shared" si="415"/>
        <v>#DIV/0!</v>
      </c>
      <c r="H1993" s="1635">
        <f t="shared" si="414"/>
        <v>0</v>
      </c>
    </row>
    <row r="1994" spans="1:24" ht="17.100000000000001" hidden="1" customHeight="1">
      <c r="A1994" s="1666"/>
      <c r="B1994" s="1678"/>
      <c r="C1994" s="2327" t="s">
        <v>1032</v>
      </c>
      <c r="D1994" s="2328" t="s">
        <v>802</v>
      </c>
      <c r="E1994" s="2039"/>
      <c r="F1994" s="2039">
        <f t="shared" si="417"/>
        <v>0</v>
      </c>
      <c r="G1994" s="1905" t="e">
        <f t="shared" si="415"/>
        <v>#DIV/0!</v>
      </c>
      <c r="H1994" s="1635">
        <f t="shared" si="414"/>
        <v>0</v>
      </c>
    </row>
    <row r="1995" spans="1:24" ht="17.100000000000001" customHeight="1">
      <c r="A1995" s="1666"/>
      <c r="B1995" s="1678"/>
      <c r="C1995" s="2327" t="s">
        <v>1033</v>
      </c>
      <c r="D1995" s="2328" t="s">
        <v>875</v>
      </c>
      <c r="E1995" s="2039">
        <f>4250+1686</f>
        <v>5936</v>
      </c>
      <c r="F1995" s="2039">
        <f t="shared" si="417"/>
        <v>5936</v>
      </c>
      <c r="G1995" s="1905">
        <f t="shared" si="415"/>
        <v>1</v>
      </c>
      <c r="H1995" s="1635">
        <f t="shared" si="414"/>
        <v>5936</v>
      </c>
      <c r="W1995" s="1636">
        <v>4250</v>
      </c>
      <c r="X1995" s="1636">
        <v>1686</v>
      </c>
    </row>
    <row r="1996" spans="1:24" ht="17.100000000000001" customHeight="1">
      <c r="A1996" s="1666"/>
      <c r="B1996" s="1678"/>
      <c r="C1996" s="2327" t="s">
        <v>1034</v>
      </c>
      <c r="D1996" s="2328" t="s">
        <v>875</v>
      </c>
      <c r="E1996" s="2039">
        <f>750+314</f>
        <v>1064</v>
      </c>
      <c r="F1996" s="2039">
        <f t="shared" si="417"/>
        <v>1064</v>
      </c>
      <c r="G1996" s="1905">
        <f t="shared" si="415"/>
        <v>1</v>
      </c>
      <c r="H1996" s="1635">
        <f t="shared" si="414"/>
        <v>1064</v>
      </c>
      <c r="W1996" s="1636">
        <v>750</v>
      </c>
      <c r="X1996" s="1636">
        <v>314</v>
      </c>
    </row>
    <row r="1997" spans="1:24" ht="19.5" customHeight="1">
      <c r="A1997" s="1666"/>
      <c r="B1997" s="1678"/>
      <c r="C1997" s="2327" t="s">
        <v>853</v>
      </c>
      <c r="D1997" s="2328" t="s">
        <v>806</v>
      </c>
      <c r="E1997" s="2039">
        <f>140250+39612</f>
        <v>179862</v>
      </c>
      <c r="F1997" s="2039">
        <f t="shared" si="417"/>
        <v>173483</v>
      </c>
      <c r="G1997" s="1905">
        <f t="shared" si="415"/>
        <v>0.96453392045012287</v>
      </c>
      <c r="H1997" s="1635">
        <f t="shared" si="414"/>
        <v>173483</v>
      </c>
      <c r="W1997" s="1636">
        <v>133450</v>
      </c>
      <c r="X1997" s="1636">
        <v>40033</v>
      </c>
    </row>
    <row r="1998" spans="1:24" ht="16.5" customHeight="1">
      <c r="A1998" s="1666"/>
      <c r="B1998" s="1678"/>
      <c r="C1998" s="2489" t="s">
        <v>854</v>
      </c>
      <c r="D1998" s="2490" t="s">
        <v>806</v>
      </c>
      <c r="E1998" s="2565">
        <f>24750+7388</f>
        <v>32138</v>
      </c>
      <c r="F1998" s="2039">
        <f t="shared" si="417"/>
        <v>31017</v>
      </c>
      <c r="G1998" s="1905">
        <f t="shared" si="415"/>
        <v>0.96511917356400523</v>
      </c>
      <c r="H1998" s="1635">
        <f t="shared" si="414"/>
        <v>31017</v>
      </c>
      <c r="W1998" s="1636">
        <v>23550</v>
      </c>
      <c r="X1998" s="1636">
        <v>7467</v>
      </c>
    </row>
    <row r="1999" spans="1:24" ht="17.100000000000001" customHeight="1">
      <c r="A1999" s="1666"/>
      <c r="B1999" s="1666"/>
      <c r="C1999" s="2203" t="s">
        <v>855</v>
      </c>
      <c r="D1999" s="2528" t="s">
        <v>769</v>
      </c>
      <c r="E1999" s="2039">
        <f>150178+41718</f>
        <v>191896</v>
      </c>
      <c r="F1999" s="2039">
        <f t="shared" si="417"/>
        <v>48534</v>
      </c>
      <c r="G1999" s="1905">
        <f t="shared" si="415"/>
        <v>0.25291824738399965</v>
      </c>
      <c r="H1999" s="1635">
        <f t="shared" si="414"/>
        <v>48534</v>
      </c>
      <c r="W1999" s="1636">
        <v>39593</v>
      </c>
      <c r="X1999" s="1636">
        <v>8941</v>
      </c>
    </row>
    <row r="2000" spans="1:24" ht="17.100000000000001" customHeight="1">
      <c r="A2000" s="1666"/>
      <c r="B2000" s="1666"/>
      <c r="C2000" s="2203" t="s">
        <v>856</v>
      </c>
      <c r="D2000" s="2528" t="s">
        <v>769</v>
      </c>
      <c r="E2000" s="2039">
        <f>26501+7782</f>
        <v>34283</v>
      </c>
      <c r="F2000" s="2039">
        <f t="shared" si="417"/>
        <v>8655</v>
      </c>
      <c r="G2000" s="1905">
        <f t="shared" si="415"/>
        <v>0.2524574862176589</v>
      </c>
      <c r="H2000" s="1635">
        <f t="shared" si="414"/>
        <v>8655</v>
      </c>
      <c r="W2000" s="1636">
        <v>6987</v>
      </c>
      <c r="X2000" s="1636">
        <v>1668</v>
      </c>
    </row>
    <row r="2001" spans="1:24" ht="14.25" customHeight="1" thickBot="1">
      <c r="A2001" s="1792"/>
      <c r="B2001" s="3183"/>
      <c r="C2001" s="3070"/>
      <c r="D2001" s="3070"/>
      <c r="E2001" s="2766"/>
      <c r="F2001" s="2107"/>
      <c r="G2001" s="1905"/>
      <c r="H2001" s="1635">
        <f t="shared" si="414"/>
        <v>0</v>
      </c>
    </row>
    <row r="2002" spans="1:24" ht="17.100000000000001" customHeight="1">
      <c r="A2002" s="1666"/>
      <c r="B2002" s="1678"/>
      <c r="C2002" s="3717" t="s">
        <v>810</v>
      </c>
      <c r="D2002" s="3717"/>
      <c r="E2002" s="3088">
        <f>E2003</f>
        <v>180000</v>
      </c>
      <c r="F2002" s="3075">
        <f t="shared" ref="F2002" si="418">F2003</f>
        <v>198000</v>
      </c>
      <c r="G2002" s="2054">
        <f t="shared" si="415"/>
        <v>1.1000000000000001</v>
      </c>
      <c r="H2002" s="1635">
        <f t="shared" ref="H2002:H2068" si="419">SUM(I2002:AE2002)</f>
        <v>0</v>
      </c>
    </row>
    <row r="2003" spans="1:24" ht="17.100000000000001" customHeight="1">
      <c r="A2003" s="1666"/>
      <c r="B2003" s="1678"/>
      <c r="C2003" s="3745" t="s">
        <v>811</v>
      </c>
      <c r="D2003" s="3745"/>
      <c r="E2003" s="1904">
        <f>SUM(E2004:E2007)</f>
        <v>180000</v>
      </c>
      <c r="F2003" s="2039">
        <f t="shared" ref="F2003" si="420">SUM(F2004:F2007)</f>
        <v>198000</v>
      </c>
      <c r="G2003" s="1905">
        <f t="shared" si="415"/>
        <v>1.1000000000000001</v>
      </c>
      <c r="H2003" s="1635">
        <f t="shared" si="419"/>
        <v>0</v>
      </c>
    </row>
    <row r="2004" spans="1:24" ht="17.100000000000001" customHeight="1">
      <c r="A2004" s="1666"/>
      <c r="B2004" s="1678"/>
      <c r="C2004" s="2327" t="s">
        <v>821</v>
      </c>
      <c r="D2004" s="2328" t="s">
        <v>813</v>
      </c>
      <c r="E2004" s="1904">
        <v>50000</v>
      </c>
      <c r="F2004" s="2039">
        <f>H2004</f>
        <v>150000</v>
      </c>
      <c r="G2004" s="1905">
        <f t="shared" si="415"/>
        <v>3</v>
      </c>
      <c r="H2004" s="1635">
        <f t="shared" si="419"/>
        <v>150000</v>
      </c>
      <c r="X2004" s="1636">
        <v>150000</v>
      </c>
    </row>
    <row r="2005" spans="1:24" ht="15" customHeight="1" thickBot="1">
      <c r="A2005" s="1666"/>
      <c r="B2005" s="1678"/>
      <c r="C2005" s="2327" t="s">
        <v>812</v>
      </c>
      <c r="D2005" s="2328" t="s">
        <v>861</v>
      </c>
      <c r="E2005" s="1904">
        <v>130000</v>
      </c>
      <c r="F2005" s="2039">
        <f t="shared" ref="F2005:F2007" si="421">H2005</f>
        <v>48000</v>
      </c>
      <c r="G2005" s="1905">
        <f t="shared" si="415"/>
        <v>0.36923076923076925</v>
      </c>
      <c r="H2005" s="1635">
        <f t="shared" si="419"/>
        <v>48000</v>
      </c>
      <c r="X2005" s="1636">
        <v>48000</v>
      </c>
    </row>
    <row r="2006" spans="1:24" ht="17.100000000000001" hidden="1" customHeight="1">
      <c r="A2006" s="1666"/>
      <c r="B2006" s="1678"/>
      <c r="C2006" s="2327" t="s">
        <v>933</v>
      </c>
      <c r="D2006" s="2328" t="s">
        <v>861</v>
      </c>
      <c r="E2006" s="1904"/>
      <c r="F2006" s="2039">
        <f t="shared" si="421"/>
        <v>0</v>
      </c>
      <c r="G2006" s="1905" t="e">
        <f t="shared" si="415"/>
        <v>#DIV/0!</v>
      </c>
      <c r="H2006" s="1635">
        <f t="shared" si="419"/>
        <v>0</v>
      </c>
    </row>
    <row r="2007" spans="1:24" ht="17.100000000000001" hidden="1" customHeight="1">
      <c r="A2007" s="1666"/>
      <c r="B2007" s="1678"/>
      <c r="C2007" s="2327" t="s">
        <v>918</v>
      </c>
      <c r="D2007" s="2328" t="s">
        <v>861</v>
      </c>
      <c r="E2007" s="1904"/>
      <c r="F2007" s="2039">
        <f t="shared" si="421"/>
        <v>0</v>
      </c>
      <c r="G2007" s="1905" t="e">
        <f t="shared" si="415"/>
        <v>#DIV/0!</v>
      </c>
      <c r="H2007" s="1635">
        <f t="shared" si="419"/>
        <v>0</v>
      </c>
    </row>
    <row r="2008" spans="1:24" ht="15" hidden="1" customHeight="1">
      <c r="A2008" s="1666"/>
      <c r="B2008" s="1678"/>
      <c r="C2008" s="1699"/>
      <c r="D2008" s="1710"/>
      <c r="E2008" s="1711"/>
      <c r="F2008" s="2039"/>
      <c r="G2008" s="1905" t="e">
        <f t="shared" si="415"/>
        <v>#DIV/0!</v>
      </c>
      <c r="H2008" s="1635">
        <f t="shared" si="419"/>
        <v>0</v>
      </c>
    </row>
    <row r="2009" spans="1:24" ht="20.25" hidden="1" customHeight="1">
      <c r="A2009" s="1666"/>
      <c r="B2009" s="1678"/>
      <c r="C2009" s="3752" t="s">
        <v>823</v>
      </c>
      <c r="D2009" s="3761"/>
      <c r="E2009" s="1904">
        <f>SUM(E2010:E2011)</f>
        <v>0</v>
      </c>
      <c r="F2009" s="2039">
        <f t="shared" ref="F2009" si="422">SUM(F2010:F2011)</f>
        <v>0</v>
      </c>
      <c r="G2009" s="1905" t="e">
        <f t="shared" si="415"/>
        <v>#DIV/0!</v>
      </c>
      <c r="H2009" s="1635">
        <f t="shared" si="419"/>
        <v>0</v>
      </c>
    </row>
    <row r="2010" spans="1:24" ht="17.100000000000001" hidden="1" customHeight="1">
      <c r="A2010" s="1666"/>
      <c r="B2010" s="1678"/>
      <c r="C2010" s="2556" t="s">
        <v>933</v>
      </c>
      <c r="D2010" s="2570" t="s">
        <v>861</v>
      </c>
      <c r="E2010" s="1904"/>
      <c r="F2010" s="2039">
        <f>H2010</f>
        <v>0</v>
      </c>
      <c r="G2010" s="1905" t="e">
        <f t="shared" si="415"/>
        <v>#DIV/0!</v>
      </c>
      <c r="H2010" s="1635">
        <f t="shared" si="419"/>
        <v>0</v>
      </c>
    </row>
    <row r="2011" spans="1:24" ht="17.100000000000001" hidden="1" customHeight="1" thickBot="1">
      <c r="A2011" s="1666"/>
      <c r="B2011" s="1678"/>
      <c r="C2011" s="2013" t="s">
        <v>918</v>
      </c>
      <c r="D2011" s="1813" t="s">
        <v>861</v>
      </c>
      <c r="E2011" s="1694"/>
      <c r="F2011" s="2039">
        <f>H2011</f>
        <v>0</v>
      </c>
      <c r="G2011" s="1695" t="e">
        <f t="shared" si="415"/>
        <v>#DIV/0!</v>
      </c>
      <c r="H2011" s="1635">
        <f t="shared" si="419"/>
        <v>0</v>
      </c>
    </row>
    <row r="2012" spans="1:24" ht="17.100000000000001" customHeight="1" thickBot="1">
      <c r="A2012" s="1666"/>
      <c r="B2012" s="1734" t="s">
        <v>1196</v>
      </c>
      <c r="C2012" s="1735"/>
      <c r="D2012" s="1736" t="s">
        <v>11</v>
      </c>
      <c r="E2012" s="1737">
        <f>E2013+E2042</f>
        <v>8314824</v>
      </c>
      <c r="F2012" s="1737">
        <f t="shared" ref="F2012" si="423">F2013+F2042</f>
        <v>5967981</v>
      </c>
      <c r="G2012" s="1738">
        <f t="shared" si="415"/>
        <v>0.71775193317381103</v>
      </c>
      <c r="H2012" s="1635">
        <f t="shared" si="419"/>
        <v>0</v>
      </c>
    </row>
    <row r="2013" spans="1:24" ht="17.100000000000001" customHeight="1">
      <c r="A2013" s="1666"/>
      <c r="B2013" s="3700"/>
      <c r="C2013" s="3472" t="s">
        <v>755</v>
      </c>
      <c r="D2013" s="3472"/>
      <c r="E2013" s="1672">
        <f>E2014+E2022</f>
        <v>8306151</v>
      </c>
      <c r="F2013" s="1672">
        <f t="shared" ref="F2013" si="424">F2014+F2022</f>
        <v>5965475</v>
      </c>
      <c r="G2013" s="1673">
        <f t="shared" si="415"/>
        <v>0.7181996811760345</v>
      </c>
      <c r="H2013" s="1635">
        <f t="shared" si="419"/>
        <v>0</v>
      </c>
    </row>
    <row r="2014" spans="1:24" ht="17.100000000000001" customHeight="1">
      <c r="A2014" s="1666"/>
      <c r="B2014" s="3467"/>
      <c r="C2014" s="3760" t="s">
        <v>857</v>
      </c>
      <c r="D2014" s="3760"/>
      <c r="E2014" s="2323">
        <f>SUM(E2015:E2020)</f>
        <v>8220278</v>
      </c>
      <c r="F2014" s="2323">
        <f t="shared" ref="F2014" si="425">SUM(F2015:F2020)</f>
        <v>5913991</v>
      </c>
      <c r="G2014" s="2324">
        <f t="shared" si="415"/>
        <v>0.71943929390222572</v>
      </c>
      <c r="H2014" s="1635">
        <f t="shared" si="419"/>
        <v>0</v>
      </c>
    </row>
    <row r="2015" spans="1:24" ht="52.5" customHeight="1">
      <c r="A2015" s="1666"/>
      <c r="B2015" s="3467"/>
      <c r="C2015" s="2568" t="s">
        <v>649</v>
      </c>
      <c r="D2015" s="2528" t="s">
        <v>884</v>
      </c>
      <c r="E2015" s="1904">
        <f>1760267+5700000</f>
        <v>7460267</v>
      </c>
      <c r="F2015" s="1904">
        <f>H2015</f>
        <v>5285430</v>
      </c>
      <c r="G2015" s="1905">
        <f t="shared" si="415"/>
        <v>0.7084773239349208</v>
      </c>
      <c r="H2015" s="1635">
        <f t="shared" si="419"/>
        <v>5285430</v>
      </c>
      <c r="W2015" s="1636">
        <v>4437430</v>
      </c>
      <c r="X2015" s="1636">
        <v>848000</v>
      </c>
    </row>
    <row r="2016" spans="1:24" ht="52.5" customHeight="1">
      <c r="A2016" s="1666"/>
      <c r="B2016" s="3467"/>
      <c r="C2016" s="2568" t="s">
        <v>486</v>
      </c>
      <c r="D2016" s="2523" t="s">
        <v>827</v>
      </c>
      <c r="E2016" s="1904">
        <v>437154</v>
      </c>
      <c r="F2016" s="1904">
        <f t="shared" ref="F2016:F2020" si="426">H2016</f>
        <v>628561</v>
      </c>
      <c r="G2016" s="1905">
        <f t="shared" si="415"/>
        <v>1.4378479894956926</v>
      </c>
      <c r="H2016" s="1635">
        <f t="shared" si="419"/>
        <v>628561</v>
      </c>
      <c r="W2016" s="1636">
        <v>628561</v>
      </c>
    </row>
    <row r="2017" spans="1:11" ht="33" hidden="1" customHeight="1">
      <c r="A2017" s="1666"/>
      <c r="B2017" s="1698"/>
      <c r="C2017" s="2571" t="s">
        <v>394</v>
      </c>
      <c r="D2017" s="2572" t="s">
        <v>978</v>
      </c>
      <c r="E2017" s="1904"/>
      <c r="F2017" s="1904">
        <f t="shared" si="426"/>
        <v>0</v>
      </c>
      <c r="G2017" s="1905" t="e">
        <f t="shared" si="415"/>
        <v>#DIV/0!</v>
      </c>
      <c r="H2017" s="1635">
        <f t="shared" si="419"/>
        <v>0</v>
      </c>
    </row>
    <row r="2018" spans="1:11" ht="52.5" hidden="1" customHeight="1">
      <c r="A2018" s="1666"/>
      <c r="B2018" s="1698"/>
      <c r="C2018" s="1719" t="s">
        <v>653</v>
      </c>
      <c r="D2018" s="1770" t="s">
        <v>879</v>
      </c>
      <c r="E2018" s="1749">
        <v>1788</v>
      </c>
      <c r="F2018" s="1904">
        <f t="shared" si="426"/>
        <v>0</v>
      </c>
      <c r="G2018" s="1689">
        <f t="shared" ref="G2018:G2084" si="427">F2018/E2018</f>
        <v>0</v>
      </c>
      <c r="H2018" s="1635">
        <f t="shared" si="419"/>
        <v>0</v>
      </c>
    </row>
    <row r="2019" spans="1:11" ht="51" hidden="1" customHeight="1">
      <c r="A2019" s="1666"/>
      <c r="B2019" s="1698"/>
      <c r="C2019" s="2327" t="s">
        <v>591</v>
      </c>
      <c r="D2019" s="1770" t="s">
        <v>879</v>
      </c>
      <c r="E2019" s="1904">
        <f>8403+5255</f>
        <v>13658</v>
      </c>
      <c r="F2019" s="1904">
        <f t="shared" si="426"/>
        <v>0</v>
      </c>
      <c r="G2019" s="2324">
        <f t="shared" si="427"/>
        <v>0</v>
      </c>
      <c r="H2019" s="1635">
        <f t="shared" si="419"/>
        <v>0</v>
      </c>
    </row>
    <row r="2020" spans="1:11" ht="18.75" hidden="1" customHeight="1">
      <c r="A2020" s="1666"/>
      <c r="B2020" s="1698"/>
      <c r="C2020" s="2568" t="s">
        <v>593</v>
      </c>
      <c r="D2020" s="2523" t="s">
        <v>886</v>
      </c>
      <c r="E2020" s="1904">
        <f>294067+13344</f>
        <v>307411</v>
      </c>
      <c r="F2020" s="1904">
        <f t="shared" si="426"/>
        <v>0</v>
      </c>
      <c r="G2020" s="1905">
        <f t="shared" si="427"/>
        <v>0</v>
      </c>
      <c r="H2020" s="1635">
        <f t="shared" si="419"/>
        <v>0</v>
      </c>
    </row>
    <row r="2021" spans="1:11" ht="17.25" customHeight="1">
      <c r="A2021" s="1666"/>
      <c r="B2021" s="1698"/>
      <c r="C2021" s="1960"/>
      <c r="D2021" s="2000"/>
      <c r="E2021" s="2323"/>
      <c r="F2021" s="2323"/>
      <c r="G2021" s="2324"/>
      <c r="H2021" s="1635">
        <f t="shared" si="419"/>
        <v>0</v>
      </c>
    </row>
    <row r="2022" spans="1:11" ht="18" customHeight="1">
      <c r="A2022" s="1666"/>
      <c r="B2022" s="1698"/>
      <c r="C2022" s="3762" t="s">
        <v>825</v>
      </c>
      <c r="D2022" s="3762"/>
      <c r="E2022" s="2323">
        <f>SUM(E2023:E2040)</f>
        <v>85873</v>
      </c>
      <c r="F2022" s="2323">
        <f t="shared" ref="F2022" si="428">SUM(F2023:F2040)</f>
        <v>51484</v>
      </c>
      <c r="G2022" s="2324">
        <f t="shared" si="427"/>
        <v>0.59953652486811915</v>
      </c>
      <c r="H2022" s="1635">
        <f t="shared" si="419"/>
        <v>0</v>
      </c>
    </row>
    <row r="2023" spans="1:11" ht="18" customHeight="1">
      <c r="A2023" s="1666"/>
      <c r="B2023" s="1698"/>
      <c r="C2023" s="2327" t="s">
        <v>887</v>
      </c>
      <c r="D2023" s="2573" t="s">
        <v>759</v>
      </c>
      <c r="E2023" s="2446">
        <v>55198</v>
      </c>
      <c r="F2023" s="2446">
        <f>H2023</f>
        <v>31080</v>
      </c>
      <c r="G2023" s="2447">
        <f t="shared" si="427"/>
        <v>0.56306387912605527</v>
      </c>
      <c r="H2023" s="1635">
        <f t="shared" si="419"/>
        <v>31080</v>
      </c>
      <c r="K2023" s="1636">
        <v>31080</v>
      </c>
    </row>
    <row r="2024" spans="1:11" ht="18" customHeight="1">
      <c r="A2024" s="1666"/>
      <c r="B2024" s="1698"/>
      <c r="C2024" s="2327" t="s">
        <v>829</v>
      </c>
      <c r="D2024" s="1707" t="s">
        <v>759</v>
      </c>
      <c r="E2024" s="2446">
        <v>10296</v>
      </c>
      <c r="F2024" s="2446">
        <f t="shared" ref="F2024:F2040" si="429">H2024</f>
        <v>5798</v>
      </c>
      <c r="G2024" s="2447">
        <f t="shared" si="427"/>
        <v>0.56313131313131315</v>
      </c>
      <c r="H2024" s="1635">
        <f t="shared" si="419"/>
        <v>5798</v>
      </c>
      <c r="K2024" s="1636">
        <v>5798</v>
      </c>
    </row>
    <row r="2025" spans="1:11" ht="18.75" customHeight="1">
      <c r="A2025" s="1666"/>
      <c r="B2025" s="1698"/>
      <c r="C2025" s="2343" t="s">
        <v>888</v>
      </c>
      <c r="D2025" s="2497" t="s">
        <v>761</v>
      </c>
      <c r="E2025" s="2446">
        <v>3572</v>
      </c>
      <c r="F2025" s="2446">
        <f t="shared" si="429"/>
        <v>3744</v>
      </c>
      <c r="G2025" s="2447">
        <f t="shared" si="427"/>
        <v>1.0481522956326987</v>
      </c>
      <c r="H2025" s="1635">
        <f t="shared" si="419"/>
        <v>3744</v>
      </c>
      <c r="K2025" s="1636">
        <v>3744</v>
      </c>
    </row>
    <row r="2026" spans="1:11" ht="18.75" customHeight="1">
      <c r="A2026" s="1666"/>
      <c r="B2026" s="1698"/>
      <c r="C2026" s="2574" t="s">
        <v>831</v>
      </c>
      <c r="D2026" s="1961" t="s">
        <v>761</v>
      </c>
      <c r="E2026" s="1749">
        <v>666</v>
      </c>
      <c r="F2026" s="2446">
        <f t="shared" si="429"/>
        <v>699</v>
      </c>
      <c r="G2026" s="1750">
        <f t="shared" si="427"/>
        <v>1.0495495495495495</v>
      </c>
      <c r="H2026" s="1635">
        <f t="shared" si="419"/>
        <v>699</v>
      </c>
      <c r="K2026" s="1636">
        <v>699</v>
      </c>
    </row>
    <row r="2027" spans="1:11" ht="17.25" customHeight="1">
      <c r="A2027" s="1666"/>
      <c r="B2027" s="1698"/>
      <c r="C2027" s="2575" t="s">
        <v>889</v>
      </c>
      <c r="D2027" s="2496" t="s">
        <v>763</v>
      </c>
      <c r="E2027" s="2446">
        <v>9950</v>
      </c>
      <c r="F2027" s="2446">
        <f t="shared" si="429"/>
        <v>5921</v>
      </c>
      <c r="G2027" s="2447">
        <f t="shared" si="427"/>
        <v>0.59507537688442214</v>
      </c>
      <c r="H2027" s="1635">
        <f t="shared" si="419"/>
        <v>5921</v>
      </c>
      <c r="K2027" s="1636">
        <v>5921</v>
      </c>
    </row>
    <row r="2028" spans="1:11" ht="21" customHeight="1">
      <c r="A2028" s="1666"/>
      <c r="B2028" s="1698"/>
      <c r="C2028" s="1719" t="s">
        <v>833</v>
      </c>
      <c r="D2028" s="2496" t="s">
        <v>763</v>
      </c>
      <c r="E2028" s="2446">
        <v>1856</v>
      </c>
      <c r="F2028" s="2446">
        <f t="shared" si="429"/>
        <v>1104</v>
      </c>
      <c r="G2028" s="2447">
        <f t="shared" si="427"/>
        <v>0.59482758620689657</v>
      </c>
      <c r="H2028" s="1635">
        <f t="shared" si="419"/>
        <v>1104</v>
      </c>
      <c r="K2028" s="1636">
        <v>1104</v>
      </c>
    </row>
    <row r="2029" spans="1:11" ht="25.5" customHeight="1">
      <c r="A2029" s="1666"/>
      <c r="B2029" s="1698"/>
      <c r="C2029" s="2327" t="s">
        <v>890</v>
      </c>
      <c r="D2029" s="2328" t="s">
        <v>1440</v>
      </c>
      <c r="E2029" s="2446">
        <v>1440</v>
      </c>
      <c r="F2029" s="2446">
        <f t="shared" si="429"/>
        <v>854</v>
      </c>
      <c r="G2029" s="2447">
        <f t="shared" si="427"/>
        <v>0.59305555555555556</v>
      </c>
      <c r="H2029" s="1635">
        <f t="shared" si="419"/>
        <v>854</v>
      </c>
      <c r="K2029" s="1636">
        <v>854</v>
      </c>
    </row>
    <row r="2030" spans="1:11" ht="30" customHeight="1">
      <c r="A2030" s="1666"/>
      <c r="B2030" s="1698"/>
      <c r="C2030" s="2327" t="s">
        <v>835</v>
      </c>
      <c r="D2030" s="2328" t="s">
        <v>1440</v>
      </c>
      <c r="E2030" s="2446">
        <v>270</v>
      </c>
      <c r="F2030" s="2446">
        <f t="shared" si="429"/>
        <v>159</v>
      </c>
      <c r="G2030" s="2447">
        <f t="shared" si="427"/>
        <v>0.58888888888888891</v>
      </c>
      <c r="H2030" s="1635">
        <f t="shared" si="419"/>
        <v>159</v>
      </c>
      <c r="K2030" s="1636">
        <v>159</v>
      </c>
    </row>
    <row r="2031" spans="1:11" ht="27.75" hidden="1" customHeight="1">
      <c r="A2031" s="1666"/>
      <c r="B2031" s="1698"/>
      <c r="C2031" s="2489" t="s">
        <v>891</v>
      </c>
      <c r="D2031" s="2328" t="s">
        <v>765</v>
      </c>
      <c r="E2031" s="2446"/>
      <c r="F2031" s="2446">
        <f t="shared" si="429"/>
        <v>0</v>
      </c>
      <c r="G2031" s="2447" t="e">
        <f t="shared" si="427"/>
        <v>#DIV/0!</v>
      </c>
      <c r="H2031" s="1635">
        <f t="shared" si="419"/>
        <v>0</v>
      </c>
    </row>
    <row r="2032" spans="1:11" ht="30.75" hidden="1" customHeight="1">
      <c r="A2032" s="1666"/>
      <c r="B2032" s="1698"/>
      <c r="C2032" s="2327" t="s">
        <v>842</v>
      </c>
      <c r="D2032" s="2328" t="s">
        <v>765</v>
      </c>
      <c r="E2032" s="2446"/>
      <c r="F2032" s="2446">
        <f t="shared" si="429"/>
        <v>0</v>
      </c>
      <c r="G2032" s="2447" t="e">
        <f t="shared" si="427"/>
        <v>#DIV/0!</v>
      </c>
      <c r="H2032" s="1635">
        <f t="shared" si="419"/>
        <v>0</v>
      </c>
    </row>
    <row r="2033" spans="1:23" ht="18" hidden="1" customHeight="1">
      <c r="A2033" s="1666"/>
      <c r="B2033" s="1698"/>
      <c r="C2033" s="2327" t="s">
        <v>1183</v>
      </c>
      <c r="D2033" s="2328" t="s">
        <v>782</v>
      </c>
      <c r="E2033" s="2446"/>
      <c r="F2033" s="2446">
        <f t="shared" si="429"/>
        <v>0</v>
      </c>
      <c r="G2033" s="2447" t="e">
        <f t="shared" si="427"/>
        <v>#DIV/0!</v>
      </c>
      <c r="H2033" s="1635">
        <f t="shared" si="419"/>
        <v>0</v>
      </c>
    </row>
    <row r="2034" spans="1:23" ht="17.25" hidden="1" customHeight="1">
      <c r="A2034" s="1666"/>
      <c r="B2034" s="1698"/>
      <c r="C2034" s="2327" t="s">
        <v>1026</v>
      </c>
      <c r="D2034" s="2328" t="s">
        <v>782</v>
      </c>
      <c r="E2034" s="2446"/>
      <c r="F2034" s="2446">
        <f t="shared" si="429"/>
        <v>0</v>
      </c>
      <c r="G2034" s="2447" t="e">
        <f t="shared" si="427"/>
        <v>#DIV/0!</v>
      </c>
      <c r="H2034" s="1635">
        <f t="shared" si="419"/>
        <v>0</v>
      </c>
    </row>
    <row r="2035" spans="1:23" ht="18.75" hidden="1" customHeight="1">
      <c r="A2035" s="1666"/>
      <c r="B2035" s="1698"/>
      <c r="C2035" s="2327" t="s">
        <v>892</v>
      </c>
      <c r="D2035" s="2328" t="s">
        <v>784</v>
      </c>
      <c r="E2035" s="2446"/>
      <c r="F2035" s="2446">
        <f t="shared" si="429"/>
        <v>0</v>
      </c>
      <c r="G2035" s="2447" t="e">
        <f t="shared" si="427"/>
        <v>#DIV/0!</v>
      </c>
      <c r="H2035" s="1635">
        <f t="shared" si="419"/>
        <v>0</v>
      </c>
    </row>
    <row r="2036" spans="1:23" ht="18" hidden="1" customHeight="1">
      <c r="A2036" s="1666"/>
      <c r="B2036" s="1698"/>
      <c r="C2036" s="2327" t="s">
        <v>846</v>
      </c>
      <c r="D2036" s="2328" t="s">
        <v>784</v>
      </c>
      <c r="E2036" s="2446"/>
      <c r="F2036" s="2446">
        <f t="shared" si="429"/>
        <v>0</v>
      </c>
      <c r="G2036" s="2447" t="e">
        <f t="shared" si="427"/>
        <v>#DIV/0!</v>
      </c>
      <c r="H2036" s="1635">
        <f t="shared" si="419"/>
        <v>0</v>
      </c>
    </row>
    <row r="2037" spans="1:23" ht="18" customHeight="1">
      <c r="A2037" s="1666"/>
      <c r="B2037" s="1698"/>
      <c r="C2037" s="2327" t="s">
        <v>894</v>
      </c>
      <c r="D2037" s="2328" t="s">
        <v>792</v>
      </c>
      <c r="E2037" s="2446">
        <v>906</v>
      </c>
      <c r="F2037" s="2446">
        <f t="shared" si="429"/>
        <v>851</v>
      </c>
      <c r="G2037" s="2447">
        <f t="shared" si="427"/>
        <v>0.93929359823399561</v>
      </c>
      <c r="H2037" s="1635">
        <f t="shared" si="419"/>
        <v>851</v>
      </c>
      <c r="K2037" s="1636">
        <v>851</v>
      </c>
    </row>
    <row r="2038" spans="1:23" ht="18.75" customHeight="1">
      <c r="A2038" s="1666"/>
      <c r="B2038" s="1698"/>
      <c r="C2038" s="2327" t="s">
        <v>850</v>
      </c>
      <c r="D2038" s="2328" t="s">
        <v>792</v>
      </c>
      <c r="E2038" s="2446">
        <v>168</v>
      </c>
      <c r="F2038" s="2446">
        <f t="shared" si="429"/>
        <v>158</v>
      </c>
      <c r="G2038" s="2447">
        <f t="shared" si="427"/>
        <v>0.94047619047619047</v>
      </c>
      <c r="H2038" s="1635">
        <f t="shared" si="419"/>
        <v>158</v>
      </c>
      <c r="K2038" s="1636">
        <v>158</v>
      </c>
    </row>
    <row r="2039" spans="1:23" ht="16.5" customHeight="1">
      <c r="A2039" s="1666"/>
      <c r="B2039" s="1698"/>
      <c r="C2039" s="2489" t="s">
        <v>1185</v>
      </c>
      <c r="D2039" s="2490" t="s">
        <v>796</v>
      </c>
      <c r="E2039" s="2446">
        <v>1307</v>
      </c>
      <c r="F2039" s="2446">
        <f t="shared" si="429"/>
        <v>940</v>
      </c>
      <c r="G2039" s="2447">
        <f t="shared" si="427"/>
        <v>0.71920428462127006</v>
      </c>
      <c r="H2039" s="1635">
        <f t="shared" si="419"/>
        <v>940</v>
      </c>
      <c r="K2039" s="1636">
        <v>940</v>
      </c>
    </row>
    <row r="2040" spans="1:23" ht="16.5" customHeight="1">
      <c r="A2040" s="1666"/>
      <c r="B2040" s="1698"/>
      <c r="C2040" s="2576" t="s">
        <v>1186</v>
      </c>
      <c r="D2040" s="2490" t="s">
        <v>796</v>
      </c>
      <c r="E2040" s="2446">
        <v>244</v>
      </c>
      <c r="F2040" s="2446">
        <f t="shared" si="429"/>
        <v>176</v>
      </c>
      <c r="G2040" s="2447">
        <f t="shared" si="427"/>
        <v>0.72131147540983609</v>
      </c>
      <c r="H2040" s="1635">
        <f t="shared" si="419"/>
        <v>176</v>
      </c>
      <c r="K2040" s="1636">
        <v>176</v>
      </c>
    </row>
    <row r="2041" spans="1:23" ht="13.5" customHeight="1">
      <c r="A2041" s="1666"/>
      <c r="B2041" s="2577"/>
      <c r="C2041" s="3768"/>
      <c r="D2041" s="3769"/>
      <c r="E2041" s="1749"/>
      <c r="F2041" s="2481"/>
      <c r="G2041" s="1750"/>
      <c r="H2041" s="1635">
        <f t="shared" si="419"/>
        <v>0</v>
      </c>
    </row>
    <row r="2042" spans="1:23" ht="16.5" customHeight="1">
      <c r="A2042" s="1666"/>
      <c r="B2042" s="1698"/>
      <c r="C2042" s="3497" t="s">
        <v>810</v>
      </c>
      <c r="D2042" s="3497"/>
      <c r="E2042" s="2578">
        <f>E2043</f>
        <v>8673</v>
      </c>
      <c r="F2042" s="2578">
        <f t="shared" ref="F2042" si="430">F2043</f>
        <v>2506</v>
      </c>
      <c r="G2042" s="2579">
        <f t="shared" si="427"/>
        <v>0.28894269572235676</v>
      </c>
      <c r="H2042" s="1635">
        <f t="shared" si="419"/>
        <v>0</v>
      </c>
    </row>
    <row r="2043" spans="1:23" ht="16.5" customHeight="1">
      <c r="A2043" s="1666"/>
      <c r="B2043" s="1698"/>
      <c r="C2043" s="3770" t="s">
        <v>811</v>
      </c>
      <c r="D2043" s="3770"/>
      <c r="E2043" s="2580">
        <f>SUM(E2044:E2045)</f>
        <v>8673</v>
      </c>
      <c r="F2043" s="2580">
        <f t="shared" ref="F2043" si="431">SUM(F2044:F2045)</f>
        <v>2506</v>
      </c>
      <c r="G2043" s="2581">
        <f t="shared" si="427"/>
        <v>0.28894269572235676</v>
      </c>
      <c r="H2043" s="1635">
        <f t="shared" si="419"/>
        <v>0</v>
      </c>
    </row>
    <row r="2044" spans="1:23" ht="54.75" customHeight="1" thickBot="1">
      <c r="A2044" s="1666"/>
      <c r="B2044" s="1698"/>
      <c r="C2044" s="2582" t="s">
        <v>901</v>
      </c>
      <c r="D2044" s="2583" t="s">
        <v>902</v>
      </c>
      <c r="E2044" s="2481">
        <v>6258</v>
      </c>
      <c r="F2044" s="2481">
        <f>H2044</f>
        <v>2506</v>
      </c>
      <c r="G2044" s="2482">
        <f t="shared" si="427"/>
        <v>0.40044742729306487</v>
      </c>
      <c r="H2044" s="1635">
        <f t="shared" si="419"/>
        <v>2506</v>
      </c>
      <c r="W2044" s="1636">
        <v>2506</v>
      </c>
    </row>
    <row r="2045" spans="1:23" ht="28.5" hidden="1" customHeight="1" thickBot="1">
      <c r="A2045" s="1666"/>
      <c r="B2045" s="1831"/>
      <c r="C2045" s="2582" t="s">
        <v>594</v>
      </c>
      <c r="D2045" s="2583" t="s">
        <v>1010</v>
      </c>
      <c r="E2045" s="2481">
        <v>2415</v>
      </c>
      <c r="F2045" s="2481">
        <f>H2045</f>
        <v>0</v>
      </c>
      <c r="G2045" s="2482">
        <f t="shared" si="427"/>
        <v>0</v>
      </c>
      <c r="H2045" s="1635">
        <f t="shared" si="419"/>
        <v>0</v>
      </c>
    </row>
    <row r="2046" spans="1:23" ht="17.100000000000001" customHeight="1" thickBot="1">
      <c r="A2046" s="1660" t="s">
        <v>1197</v>
      </c>
      <c r="B2046" s="1765"/>
      <c r="C2046" s="1766"/>
      <c r="D2046" s="1767" t="s">
        <v>1198</v>
      </c>
      <c r="E2046" s="1768">
        <f>SUM(E2047,E2070,E2123,E2094)</f>
        <v>6298206</v>
      </c>
      <c r="F2046" s="1768">
        <f>SUM(F2047,F2070,F2123,F2094)</f>
        <v>6764367</v>
      </c>
      <c r="G2046" s="1769">
        <f t="shared" si="427"/>
        <v>1.0740148861437686</v>
      </c>
      <c r="H2046" s="1635">
        <f t="shared" si="419"/>
        <v>0</v>
      </c>
    </row>
    <row r="2047" spans="1:23" ht="17.100000000000001" customHeight="1" thickBot="1">
      <c r="A2047" s="1666"/>
      <c r="B2047" s="1734" t="s">
        <v>1199</v>
      </c>
      <c r="C2047" s="1735"/>
      <c r="D2047" s="1736" t="s">
        <v>663</v>
      </c>
      <c r="E2047" s="1737">
        <f t="shared" ref="E2047:F2047" si="432">E2048</f>
        <v>883588</v>
      </c>
      <c r="F2047" s="1737">
        <f t="shared" si="432"/>
        <v>954429</v>
      </c>
      <c r="G2047" s="1738">
        <f t="shared" si="427"/>
        <v>1.0801742441047184</v>
      </c>
      <c r="H2047" s="1635">
        <f t="shared" si="419"/>
        <v>0</v>
      </c>
    </row>
    <row r="2048" spans="1:23" ht="17.100000000000001" customHeight="1">
      <c r="A2048" s="1666"/>
      <c r="B2048" s="1678"/>
      <c r="C2048" s="3662" t="s">
        <v>755</v>
      </c>
      <c r="D2048" s="3488"/>
      <c r="E2048" s="2578">
        <f t="shared" ref="E2048:F2048" si="433">E2049+E2068</f>
        <v>883588</v>
      </c>
      <c r="F2048" s="2578">
        <f t="shared" si="433"/>
        <v>954429</v>
      </c>
      <c r="G2048" s="2579">
        <f t="shared" si="427"/>
        <v>1.0801742441047184</v>
      </c>
      <c r="H2048" s="1635">
        <f t="shared" si="419"/>
        <v>0</v>
      </c>
    </row>
    <row r="2049" spans="1:29" ht="17.100000000000001" customHeight="1">
      <c r="A2049" s="1666"/>
      <c r="B2049" s="1678"/>
      <c r="C2049" s="3763" t="s">
        <v>756</v>
      </c>
      <c r="D2049" s="3763"/>
      <c r="E2049" s="1904">
        <f t="shared" ref="E2049:F2049" si="434">E2050+E2059</f>
        <v>855869</v>
      </c>
      <c r="F2049" s="1904">
        <f t="shared" si="434"/>
        <v>950986</v>
      </c>
      <c r="G2049" s="1905">
        <f t="shared" si="427"/>
        <v>1.1111349984635499</v>
      </c>
      <c r="H2049" s="1635">
        <f t="shared" si="419"/>
        <v>0</v>
      </c>
    </row>
    <row r="2050" spans="1:29" ht="17.100000000000001" customHeight="1">
      <c r="A2050" s="1666"/>
      <c r="B2050" s="1678"/>
      <c r="C2050" s="3771" t="s">
        <v>757</v>
      </c>
      <c r="D2050" s="3771"/>
      <c r="E2050" s="1904">
        <f>SUM(E2051:E2057)</f>
        <v>748655</v>
      </c>
      <c r="F2050" s="1904">
        <f>SUM(F2051:F2057)</f>
        <v>845580</v>
      </c>
      <c r="G2050" s="1905">
        <f t="shared" si="427"/>
        <v>1.1294655081446059</v>
      </c>
      <c r="H2050" s="1635">
        <f t="shared" si="419"/>
        <v>0</v>
      </c>
    </row>
    <row r="2051" spans="1:29" ht="17.100000000000001" customHeight="1">
      <c r="A2051" s="1666"/>
      <c r="B2051" s="1678"/>
      <c r="C2051" s="2327" t="s">
        <v>758</v>
      </c>
      <c r="D2051" s="2328" t="s">
        <v>759</v>
      </c>
      <c r="E2051" s="1904">
        <v>588734</v>
      </c>
      <c r="F2051" s="1904">
        <f>H2051</f>
        <v>495767</v>
      </c>
      <c r="G2051" s="1905">
        <f t="shared" si="427"/>
        <v>0.84208997611824699</v>
      </c>
      <c r="H2051" s="1635">
        <f t="shared" si="419"/>
        <v>495767</v>
      </c>
      <c r="AC2051" s="1636">
        <v>495767</v>
      </c>
    </row>
    <row r="2052" spans="1:29" ht="17.100000000000001" customHeight="1">
      <c r="A2052" s="1666"/>
      <c r="B2052" s="1678"/>
      <c r="C2052" s="2327" t="s">
        <v>760</v>
      </c>
      <c r="D2052" s="2328" t="s">
        <v>761</v>
      </c>
      <c r="E2052" s="1904">
        <v>43900</v>
      </c>
      <c r="F2052" s="1904">
        <f t="shared" ref="F2052:F2055" si="435">H2052</f>
        <v>36859</v>
      </c>
      <c r="G2052" s="1905">
        <f t="shared" si="427"/>
        <v>0.83961275626423693</v>
      </c>
      <c r="H2052" s="1635">
        <f t="shared" si="419"/>
        <v>36859</v>
      </c>
      <c r="AC2052" s="1636">
        <v>36859</v>
      </c>
    </row>
    <row r="2053" spans="1:29" ht="17.100000000000001" customHeight="1">
      <c r="A2053" s="1666"/>
      <c r="B2053" s="1678"/>
      <c r="C2053" s="2327" t="s">
        <v>762</v>
      </c>
      <c r="D2053" s="2328" t="s">
        <v>763</v>
      </c>
      <c r="E2053" s="1904">
        <v>107231</v>
      </c>
      <c r="F2053" s="1904">
        <f t="shared" si="435"/>
        <v>117738</v>
      </c>
      <c r="G2053" s="1905">
        <f t="shared" si="427"/>
        <v>1.0979847245665899</v>
      </c>
      <c r="H2053" s="1635">
        <f t="shared" si="419"/>
        <v>117738</v>
      </c>
      <c r="AC2053" s="1636">
        <v>117738</v>
      </c>
    </row>
    <row r="2054" spans="1:29" ht="30" customHeight="1">
      <c r="A2054" s="1666"/>
      <c r="B2054" s="1678"/>
      <c r="C2054" s="2327" t="s">
        <v>764</v>
      </c>
      <c r="D2054" s="2328" t="s">
        <v>1440</v>
      </c>
      <c r="E2054" s="1904">
        <v>7300</v>
      </c>
      <c r="F2054" s="1904">
        <f t="shared" si="435"/>
        <v>16783</v>
      </c>
      <c r="G2054" s="1905">
        <f t="shared" si="427"/>
        <v>2.2990410958904111</v>
      </c>
      <c r="H2054" s="1635">
        <f t="shared" si="419"/>
        <v>16783</v>
      </c>
      <c r="AC2054" s="1636">
        <v>16783</v>
      </c>
    </row>
    <row r="2055" spans="1:29" ht="30" customHeight="1">
      <c r="A2055" s="1666"/>
      <c r="B2055" s="1678"/>
      <c r="C2055" s="2327" t="s">
        <v>768</v>
      </c>
      <c r="D2055" s="2488" t="s">
        <v>769</v>
      </c>
      <c r="E2055" s="1904">
        <v>1490</v>
      </c>
      <c r="F2055" s="1904">
        <f t="shared" si="435"/>
        <v>1647</v>
      </c>
      <c r="G2055" s="1905">
        <f t="shared" si="427"/>
        <v>1.1053691275167785</v>
      </c>
      <c r="H2055" s="1635">
        <f t="shared" si="419"/>
        <v>1647</v>
      </c>
      <c r="AC2055" s="1636">
        <v>1647</v>
      </c>
    </row>
    <row r="2056" spans="1:29" ht="30" customHeight="1">
      <c r="A2056" s="1666"/>
      <c r="B2056" s="1678"/>
      <c r="C2056" s="2327" t="s">
        <v>1101</v>
      </c>
      <c r="D2056" s="2328" t="s">
        <v>1102</v>
      </c>
      <c r="E2056" s="1904">
        <v>0</v>
      </c>
      <c r="F2056" s="1904">
        <f>H2056</f>
        <v>162644</v>
      </c>
      <c r="G2056" s="1905"/>
      <c r="H2056" s="1635">
        <f t="shared" si="419"/>
        <v>162644</v>
      </c>
      <c r="AC2056" s="1636">
        <v>162644</v>
      </c>
    </row>
    <row r="2057" spans="1:29" ht="30" customHeight="1">
      <c r="A2057" s="1666"/>
      <c r="B2057" s="1678"/>
      <c r="C2057" s="2327" t="s">
        <v>1103</v>
      </c>
      <c r="D2057" s="2328" t="s">
        <v>1104</v>
      </c>
      <c r="E2057" s="1904">
        <v>0</v>
      </c>
      <c r="F2057" s="1904">
        <f>H2057</f>
        <v>14142</v>
      </c>
      <c r="G2057" s="1905"/>
      <c r="H2057" s="1635">
        <f t="shared" si="419"/>
        <v>14142</v>
      </c>
      <c r="AC2057" s="1636">
        <v>14142</v>
      </c>
    </row>
    <row r="2058" spans="1:29" ht="17.100000000000001" customHeight="1" thickBot="1">
      <c r="A2058" s="1792"/>
      <c r="B2058" s="3183"/>
      <c r="C2058" s="3070"/>
      <c r="D2058" s="3070"/>
      <c r="E2058" s="2766"/>
      <c r="F2058" s="2766"/>
      <c r="G2058" s="1684"/>
      <c r="H2058" s="1635">
        <f t="shared" si="419"/>
        <v>0</v>
      </c>
    </row>
    <row r="2059" spans="1:29" ht="17.100000000000001" customHeight="1">
      <c r="A2059" s="1666"/>
      <c r="B2059" s="1678"/>
      <c r="C2059" s="3670" t="s">
        <v>770</v>
      </c>
      <c r="D2059" s="3670"/>
      <c r="E2059" s="3078">
        <f t="shared" ref="E2059:F2059" si="436">SUM(E2060:E2066)</f>
        <v>107214</v>
      </c>
      <c r="F2059" s="3078">
        <f t="shared" si="436"/>
        <v>105406</v>
      </c>
      <c r="G2059" s="1905">
        <f t="shared" si="427"/>
        <v>0.98313653067696383</v>
      </c>
      <c r="H2059" s="1635">
        <f t="shared" si="419"/>
        <v>0</v>
      </c>
    </row>
    <row r="2060" spans="1:29" ht="17.100000000000001" customHeight="1">
      <c r="A2060" s="1666"/>
      <c r="B2060" s="1678"/>
      <c r="C2060" s="2327" t="s">
        <v>773</v>
      </c>
      <c r="D2060" s="2328" t="s">
        <v>774</v>
      </c>
      <c r="E2060" s="1904">
        <v>31580</v>
      </c>
      <c r="F2060" s="1904">
        <f>H2060</f>
        <v>31580</v>
      </c>
      <c r="G2060" s="1905">
        <f t="shared" si="427"/>
        <v>1</v>
      </c>
      <c r="H2060" s="1635">
        <f t="shared" si="419"/>
        <v>31580</v>
      </c>
      <c r="AC2060" s="1636">
        <v>31580</v>
      </c>
    </row>
    <row r="2061" spans="1:29" ht="17.100000000000001" customHeight="1">
      <c r="A2061" s="1666"/>
      <c r="B2061" s="1678"/>
      <c r="C2061" s="2327" t="s">
        <v>777</v>
      </c>
      <c r="D2061" s="2328" t="s">
        <v>778</v>
      </c>
      <c r="E2061" s="1904">
        <v>40711</v>
      </c>
      <c r="F2061" s="1904">
        <f t="shared" ref="F2061:F2066" si="437">H2061</f>
        <v>41931</v>
      </c>
      <c r="G2061" s="1905">
        <f t="shared" si="427"/>
        <v>1.0299673306968633</v>
      </c>
      <c r="H2061" s="1635">
        <f t="shared" si="419"/>
        <v>41931</v>
      </c>
      <c r="AC2061" s="1636">
        <v>41931</v>
      </c>
    </row>
    <row r="2062" spans="1:29" ht="17.100000000000001" customHeight="1">
      <c r="A2062" s="1666"/>
      <c r="B2062" s="1678"/>
      <c r="C2062" s="2327" t="s">
        <v>781</v>
      </c>
      <c r="D2062" s="2328" t="s">
        <v>782</v>
      </c>
      <c r="E2062" s="1904">
        <v>1576</v>
      </c>
      <c r="F2062" s="1904">
        <f t="shared" si="437"/>
        <v>1576</v>
      </c>
      <c r="G2062" s="1905">
        <f t="shared" si="427"/>
        <v>1</v>
      </c>
      <c r="H2062" s="1635">
        <f t="shared" si="419"/>
        <v>1576</v>
      </c>
      <c r="AC2062" s="1636">
        <v>1576</v>
      </c>
    </row>
    <row r="2063" spans="1:29" ht="17.100000000000001" customHeight="1">
      <c r="A2063" s="1666"/>
      <c r="B2063" s="1678"/>
      <c r="C2063" s="2327" t="s">
        <v>783</v>
      </c>
      <c r="D2063" s="2328" t="s">
        <v>784</v>
      </c>
      <c r="E2063" s="1904">
        <v>6625</v>
      </c>
      <c r="F2063" s="1904">
        <f t="shared" si="437"/>
        <v>6625</v>
      </c>
      <c r="G2063" s="1905">
        <f t="shared" si="427"/>
        <v>1</v>
      </c>
      <c r="H2063" s="1635">
        <f t="shared" si="419"/>
        <v>6625</v>
      </c>
      <c r="AC2063" s="1636">
        <v>6625</v>
      </c>
    </row>
    <row r="2064" spans="1:29" ht="16.5" customHeight="1">
      <c r="A2064" s="1666"/>
      <c r="B2064" s="3519"/>
      <c r="C2064" s="2327" t="s">
        <v>785</v>
      </c>
      <c r="D2064" s="2328" t="s">
        <v>985</v>
      </c>
      <c r="E2064" s="1904">
        <v>620</v>
      </c>
      <c r="F2064" s="1904">
        <f t="shared" si="437"/>
        <v>620</v>
      </c>
      <c r="G2064" s="1905">
        <f t="shared" si="427"/>
        <v>1</v>
      </c>
      <c r="H2064" s="1635">
        <f t="shared" si="419"/>
        <v>620</v>
      </c>
      <c r="AC2064" s="1636">
        <v>620</v>
      </c>
    </row>
    <row r="2065" spans="1:29" ht="17.100000000000001" customHeight="1">
      <c r="A2065" s="1666"/>
      <c r="B2065" s="3519"/>
      <c r="C2065" s="2489" t="s">
        <v>795</v>
      </c>
      <c r="D2065" s="2490" t="s">
        <v>796</v>
      </c>
      <c r="E2065" s="1904">
        <v>26102</v>
      </c>
      <c r="F2065" s="1904">
        <f t="shared" si="437"/>
        <v>23074</v>
      </c>
      <c r="G2065" s="1905">
        <f t="shared" si="427"/>
        <v>0.88399356371159299</v>
      </c>
      <c r="H2065" s="1635">
        <f t="shared" si="419"/>
        <v>23074</v>
      </c>
      <c r="AC2065" s="1636">
        <v>23074</v>
      </c>
    </row>
    <row r="2066" spans="1:29" ht="17.100000000000001" hidden="1" customHeight="1">
      <c r="A2066" s="1666"/>
      <c r="B2066" s="3519"/>
      <c r="C2066" s="2575" t="s">
        <v>801</v>
      </c>
      <c r="D2066" s="2584" t="s">
        <v>1200</v>
      </c>
      <c r="E2066" s="1904"/>
      <c r="F2066" s="1904">
        <f t="shared" si="437"/>
        <v>0</v>
      </c>
      <c r="G2066" s="1905" t="e">
        <f t="shared" si="427"/>
        <v>#DIV/0!</v>
      </c>
      <c r="H2066" s="1635">
        <f t="shared" si="419"/>
        <v>0</v>
      </c>
    </row>
    <row r="2067" spans="1:29" ht="17.100000000000001" customHeight="1">
      <c r="A2067" s="1666"/>
      <c r="B2067" s="3519"/>
      <c r="C2067" s="2585"/>
      <c r="D2067" s="2586"/>
      <c r="E2067" s="2299"/>
      <c r="F2067" s="2299"/>
      <c r="G2067" s="2070"/>
      <c r="H2067" s="1635">
        <f t="shared" si="419"/>
        <v>0</v>
      </c>
    </row>
    <row r="2068" spans="1:29" ht="17.100000000000001" customHeight="1">
      <c r="A2068" s="1666"/>
      <c r="B2068" s="3519"/>
      <c r="C2068" s="3486" t="s">
        <v>807</v>
      </c>
      <c r="D2068" s="3486"/>
      <c r="E2068" s="1749">
        <f t="shared" ref="E2068:F2068" si="438">E2069</f>
        <v>27719</v>
      </c>
      <c r="F2068" s="1749">
        <f t="shared" si="438"/>
        <v>3443</v>
      </c>
      <c r="G2068" s="1750">
        <f t="shared" si="427"/>
        <v>0.12421083011652657</v>
      </c>
      <c r="H2068" s="1635">
        <f t="shared" si="419"/>
        <v>0</v>
      </c>
    </row>
    <row r="2069" spans="1:29" ht="17.100000000000001" customHeight="1" thickBot="1">
      <c r="A2069" s="1666"/>
      <c r="B2069" s="3519"/>
      <c r="C2069" s="2489" t="s">
        <v>808</v>
      </c>
      <c r="D2069" s="2490" t="s">
        <v>809</v>
      </c>
      <c r="E2069" s="2323">
        <v>27719</v>
      </c>
      <c r="F2069" s="2323">
        <f>H2069</f>
        <v>3443</v>
      </c>
      <c r="G2069" s="2324">
        <f t="shared" si="427"/>
        <v>0.12421083011652657</v>
      </c>
      <c r="H2069" s="1635">
        <f t="shared" ref="H2069:H2140" si="439">SUM(I2069:AE2069)</f>
        <v>3443</v>
      </c>
      <c r="AC2069" s="1636">
        <v>3443</v>
      </c>
    </row>
    <row r="2070" spans="1:29" ht="17.100000000000001" customHeight="1" thickBot="1">
      <c r="A2070" s="1666"/>
      <c r="B2070" s="1734" t="s">
        <v>1201</v>
      </c>
      <c r="C2070" s="1735"/>
      <c r="D2070" s="1736" t="s">
        <v>1202</v>
      </c>
      <c r="E2070" s="1737">
        <f t="shared" ref="E2070:F2071" si="440">E2071</f>
        <v>4828600</v>
      </c>
      <c r="F2070" s="1737">
        <f t="shared" si="440"/>
        <v>5152000</v>
      </c>
      <c r="G2070" s="1738">
        <f t="shared" si="427"/>
        <v>1.0669759350536387</v>
      </c>
      <c r="H2070" s="1635">
        <f t="shared" si="439"/>
        <v>0</v>
      </c>
    </row>
    <row r="2071" spans="1:29" ht="17.100000000000001" customHeight="1">
      <c r="A2071" s="1666"/>
      <c r="B2071" s="3467"/>
      <c r="C2071" s="3472" t="s">
        <v>755</v>
      </c>
      <c r="D2071" s="3472"/>
      <c r="E2071" s="1672">
        <f t="shared" si="440"/>
        <v>4828600</v>
      </c>
      <c r="F2071" s="1672">
        <f t="shared" si="440"/>
        <v>5152000</v>
      </c>
      <c r="G2071" s="1673">
        <f t="shared" si="427"/>
        <v>1.0669759350536387</v>
      </c>
      <c r="H2071" s="1635">
        <f t="shared" si="439"/>
        <v>0</v>
      </c>
    </row>
    <row r="2072" spans="1:29" ht="17.100000000000001" customHeight="1">
      <c r="A2072" s="1666"/>
      <c r="B2072" s="3467"/>
      <c r="C2072" s="3746" t="s">
        <v>825</v>
      </c>
      <c r="D2072" s="3746"/>
      <c r="E2072" s="1904">
        <f>SUM(E2073:E2093)</f>
        <v>4828600</v>
      </c>
      <c r="F2072" s="1904">
        <f>SUM(F2073:F2093)</f>
        <v>5152000</v>
      </c>
      <c r="G2072" s="1905">
        <f t="shared" si="427"/>
        <v>1.0669759350536387</v>
      </c>
      <c r="H2072" s="1635">
        <f t="shared" si="439"/>
        <v>0</v>
      </c>
    </row>
    <row r="2073" spans="1:29" ht="19.5" customHeight="1">
      <c r="A2073" s="1666"/>
      <c r="B2073" s="3467"/>
      <c r="C2073" s="2327" t="s">
        <v>1118</v>
      </c>
      <c r="D2073" s="2328" t="s">
        <v>1117</v>
      </c>
      <c r="E2073" s="1904">
        <v>3509650</v>
      </c>
      <c r="F2073" s="1904">
        <f>H2073</f>
        <v>3748500</v>
      </c>
      <c r="G2073" s="1905">
        <f t="shared" si="427"/>
        <v>1.0680552191813999</v>
      </c>
      <c r="H2073" s="1635">
        <f t="shared" si="439"/>
        <v>3748500</v>
      </c>
      <c r="AC2073" s="1636">
        <v>3748500</v>
      </c>
    </row>
    <row r="2074" spans="1:29" ht="17.100000000000001" customHeight="1">
      <c r="A2074" s="1666"/>
      <c r="B2074" s="1678"/>
      <c r="C2074" s="2327" t="s">
        <v>1119</v>
      </c>
      <c r="D2074" s="2328" t="s">
        <v>1117</v>
      </c>
      <c r="E2074" s="1904">
        <v>619350</v>
      </c>
      <c r="F2074" s="1904">
        <f t="shared" ref="F2074:F2093" si="441">H2074</f>
        <v>661500</v>
      </c>
      <c r="G2074" s="1905">
        <f t="shared" si="427"/>
        <v>1.0680552191813999</v>
      </c>
      <c r="H2074" s="1635">
        <f t="shared" si="439"/>
        <v>661500</v>
      </c>
      <c r="AC2074" s="1636">
        <v>661500</v>
      </c>
    </row>
    <row r="2075" spans="1:29" ht="17.100000000000001" customHeight="1">
      <c r="A2075" s="1666"/>
      <c r="B2075" s="1678"/>
      <c r="C2075" s="2327" t="s">
        <v>887</v>
      </c>
      <c r="D2075" s="2328" t="s">
        <v>759</v>
      </c>
      <c r="E2075" s="1904">
        <v>433818</v>
      </c>
      <c r="F2075" s="1904">
        <f t="shared" si="441"/>
        <v>455304</v>
      </c>
      <c r="G2075" s="1905">
        <f t="shared" si="427"/>
        <v>1.0495276821155415</v>
      </c>
      <c r="H2075" s="1635">
        <f t="shared" si="439"/>
        <v>455304</v>
      </c>
      <c r="AC2075" s="1636">
        <v>455304</v>
      </c>
    </row>
    <row r="2076" spans="1:29" ht="17.100000000000001" customHeight="1">
      <c r="A2076" s="1666"/>
      <c r="B2076" s="1678"/>
      <c r="C2076" s="2327" t="s">
        <v>829</v>
      </c>
      <c r="D2076" s="2328" t="s">
        <v>759</v>
      </c>
      <c r="E2076" s="1904">
        <v>76554</v>
      </c>
      <c r="F2076" s="1904">
        <f t="shared" si="441"/>
        <v>80342</v>
      </c>
      <c r="G2076" s="1905">
        <f t="shared" si="427"/>
        <v>1.0494814118138831</v>
      </c>
      <c r="H2076" s="1635">
        <f t="shared" si="439"/>
        <v>80342</v>
      </c>
      <c r="AC2076" s="1636">
        <v>80342</v>
      </c>
    </row>
    <row r="2077" spans="1:29" ht="17.100000000000001" customHeight="1">
      <c r="A2077" s="1666"/>
      <c r="B2077" s="1678"/>
      <c r="C2077" s="2327" t="s">
        <v>889</v>
      </c>
      <c r="D2077" s="2328" t="s">
        <v>763</v>
      </c>
      <c r="E2077" s="1904">
        <v>88359</v>
      </c>
      <c r="F2077" s="1904">
        <f t="shared" si="441"/>
        <v>97572</v>
      </c>
      <c r="G2077" s="1905">
        <f t="shared" si="427"/>
        <v>1.1042678165212372</v>
      </c>
      <c r="H2077" s="1635">
        <f t="shared" si="439"/>
        <v>97572</v>
      </c>
      <c r="AC2077" s="1636">
        <v>97572</v>
      </c>
    </row>
    <row r="2078" spans="1:29" ht="17.100000000000001" customHeight="1">
      <c r="A2078" s="1666"/>
      <c r="B2078" s="1678"/>
      <c r="C2078" s="2327" t="s">
        <v>833</v>
      </c>
      <c r="D2078" s="2328" t="s">
        <v>763</v>
      </c>
      <c r="E2078" s="1904">
        <v>15594</v>
      </c>
      <c r="F2078" s="1904">
        <f t="shared" si="441"/>
        <v>17222</v>
      </c>
      <c r="G2078" s="1905">
        <f t="shared" si="427"/>
        <v>1.1043991278696934</v>
      </c>
      <c r="H2078" s="1635">
        <f t="shared" si="439"/>
        <v>17222</v>
      </c>
      <c r="AC2078" s="1636">
        <v>17222</v>
      </c>
    </row>
    <row r="2079" spans="1:29" ht="27.75" customHeight="1">
      <c r="A2079" s="1666"/>
      <c r="B2079" s="1678"/>
      <c r="C2079" s="2327" t="s">
        <v>890</v>
      </c>
      <c r="D2079" s="2328" t="s">
        <v>1440</v>
      </c>
      <c r="E2079" s="1904">
        <v>12592</v>
      </c>
      <c r="F2079" s="1904">
        <f t="shared" si="441"/>
        <v>13904</v>
      </c>
      <c r="G2079" s="1905">
        <f t="shared" si="427"/>
        <v>1.1041931385006354</v>
      </c>
      <c r="H2079" s="1635">
        <f t="shared" si="439"/>
        <v>13904</v>
      </c>
      <c r="AC2079" s="1636">
        <v>13904</v>
      </c>
    </row>
    <row r="2080" spans="1:29" ht="29.25" customHeight="1">
      <c r="A2080" s="1666"/>
      <c r="B2080" s="1678"/>
      <c r="C2080" s="2327" t="s">
        <v>835</v>
      </c>
      <c r="D2080" s="2328" t="s">
        <v>1440</v>
      </c>
      <c r="E2080" s="1904">
        <v>2223</v>
      </c>
      <c r="F2080" s="1904">
        <f t="shared" si="441"/>
        <v>2456</v>
      </c>
      <c r="G2080" s="1905">
        <f t="shared" si="427"/>
        <v>1.1048133153396311</v>
      </c>
      <c r="H2080" s="1635">
        <f t="shared" si="439"/>
        <v>2456</v>
      </c>
      <c r="AC2080" s="1636">
        <v>2456</v>
      </c>
    </row>
    <row r="2081" spans="1:29" ht="17.100000000000001" hidden="1" customHeight="1">
      <c r="A2081" s="1666"/>
      <c r="B2081" s="1678"/>
      <c r="C2081" s="2327" t="s">
        <v>1003</v>
      </c>
      <c r="D2081" s="2328" t="s">
        <v>767</v>
      </c>
      <c r="E2081" s="1904"/>
      <c r="F2081" s="1904">
        <f t="shared" si="441"/>
        <v>0</v>
      </c>
      <c r="G2081" s="1905" t="e">
        <f t="shared" si="427"/>
        <v>#DIV/0!</v>
      </c>
      <c r="H2081" s="1635">
        <f t="shared" si="439"/>
        <v>0</v>
      </c>
    </row>
    <row r="2082" spans="1:29" ht="17.100000000000001" hidden="1" customHeight="1">
      <c r="A2082" s="1666"/>
      <c r="B2082" s="1678"/>
      <c r="C2082" s="2327" t="s">
        <v>837</v>
      </c>
      <c r="D2082" s="2328" t="s">
        <v>767</v>
      </c>
      <c r="E2082" s="1904"/>
      <c r="F2082" s="1904">
        <f t="shared" si="441"/>
        <v>0</v>
      </c>
      <c r="G2082" s="1905" t="e">
        <f t="shared" si="427"/>
        <v>#DIV/0!</v>
      </c>
      <c r="H2082" s="1635">
        <f t="shared" si="439"/>
        <v>0</v>
      </c>
    </row>
    <row r="2083" spans="1:29" ht="15" customHeight="1">
      <c r="A2083" s="1666"/>
      <c r="B2083" s="1678"/>
      <c r="C2083" s="2327" t="s">
        <v>891</v>
      </c>
      <c r="D2083" s="2328" t="s">
        <v>774</v>
      </c>
      <c r="E2083" s="1904">
        <v>35680</v>
      </c>
      <c r="F2083" s="1904">
        <f t="shared" si="441"/>
        <v>37842</v>
      </c>
      <c r="G2083" s="1905">
        <f t="shared" si="427"/>
        <v>1.0605941704035875</v>
      </c>
      <c r="H2083" s="1635">
        <f t="shared" si="439"/>
        <v>37842</v>
      </c>
      <c r="AC2083" s="1636">
        <v>37842</v>
      </c>
    </row>
    <row r="2084" spans="1:29" ht="17.100000000000001" customHeight="1">
      <c r="A2084" s="1666"/>
      <c r="B2084" s="1678"/>
      <c r="C2084" s="2327" t="s">
        <v>842</v>
      </c>
      <c r="D2084" s="2328" t="s">
        <v>774</v>
      </c>
      <c r="E2084" s="1904">
        <v>6296</v>
      </c>
      <c r="F2084" s="1904">
        <f t="shared" si="441"/>
        <v>6678</v>
      </c>
      <c r="G2084" s="1905">
        <f t="shared" si="427"/>
        <v>1.0606734434561627</v>
      </c>
      <c r="H2084" s="1635">
        <f t="shared" si="439"/>
        <v>6678</v>
      </c>
      <c r="AC2084" s="1636">
        <v>6678</v>
      </c>
    </row>
    <row r="2085" spans="1:29" ht="17.100000000000001" customHeight="1">
      <c r="A2085" s="1666"/>
      <c r="B2085" s="1678"/>
      <c r="C2085" s="2327" t="s">
        <v>1051</v>
      </c>
      <c r="D2085" s="2328" t="s">
        <v>778</v>
      </c>
      <c r="E2085" s="1904">
        <v>11893</v>
      </c>
      <c r="F2085" s="1904">
        <f t="shared" si="441"/>
        <v>12614</v>
      </c>
      <c r="G2085" s="1905">
        <f t="shared" ref="G2085:G2221" si="442">F2085/E2085</f>
        <v>1.0606238964096528</v>
      </c>
      <c r="H2085" s="1635">
        <f t="shared" si="439"/>
        <v>12614</v>
      </c>
      <c r="AC2085" s="1636">
        <v>12614</v>
      </c>
    </row>
    <row r="2086" spans="1:29" ht="17.100000000000001" customHeight="1">
      <c r="A2086" s="1666"/>
      <c r="B2086" s="1678"/>
      <c r="C2086" s="2327" t="s">
        <v>1024</v>
      </c>
      <c r="D2086" s="2328" t="s">
        <v>778</v>
      </c>
      <c r="E2086" s="1904">
        <v>2099</v>
      </c>
      <c r="F2086" s="1904">
        <f t="shared" si="441"/>
        <v>2226</v>
      </c>
      <c r="G2086" s="1905">
        <f t="shared" si="442"/>
        <v>1.0605050023820868</v>
      </c>
      <c r="H2086" s="1635">
        <f t="shared" si="439"/>
        <v>2226</v>
      </c>
      <c r="AC2086" s="1636">
        <v>2226</v>
      </c>
    </row>
    <row r="2087" spans="1:29" ht="17.100000000000001" customHeight="1">
      <c r="A2087" s="1666"/>
      <c r="B2087" s="1678"/>
      <c r="C2087" s="2327" t="s">
        <v>892</v>
      </c>
      <c r="D2087" s="2328" t="s">
        <v>784</v>
      </c>
      <c r="E2087" s="1904">
        <v>5947</v>
      </c>
      <c r="F2087" s="1904">
        <f t="shared" si="441"/>
        <v>6308</v>
      </c>
      <c r="G2087" s="1905">
        <f t="shared" si="442"/>
        <v>1.060702875399361</v>
      </c>
      <c r="H2087" s="1635">
        <f t="shared" si="439"/>
        <v>6308</v>
      </c>
      <c r="AC2087" s="1636">
        <v>6308</v>
      </c>
    </row>
    <row r="2088" spans="1:29" ht="17.100000000000001" customHeight="1">
      <c r="A2088" s="1666"/>
      <c r="B2088" s="1678"/>
      <c r="C2088" s="2327" t="s">
        <v>846</v>
      </c>
      <c r="D2088" s="2328" t="s">
        <v>784</v>
      </c>
      <c r="E2088" s="1904">
        <v>1049</v>
      </c>
      <c r="F2088" s="1904">
        <f t="shared" si="441"/>
        <v>1112</v>
      </c>
      <c r="G2088" s="1905">
        <f t="shared" si="442"/>
        <v>1.0600571973307913</v>
      </c>
      <c r="H2088" s="1635">
        <f t="shared" si="439"/>
        <v>1112</v>
      </c>
      <c r="AC2088" s="1636">
        <v>1112</v>
      </c>
    </row>
    <row r="2089" spans="1:29" ht="17.100000000000001" customHeight="1">
      <c r="A2089" s="1666"/>
      <c r="B2089" s="1678"/>
      <c r="C2089" s="2327" t="s">
        <v>1052</v>
      </c>
      <c r="D2089" s="2328" t="s">
        <v>985</v>
      </c>
      <c r="E2089" s="1904">
        <v>5947</v>
      </c>
      <c r="F2089" s="1904">
        <f t="shared" si="441"/>
        <v>6308</v>
      </c>
      <c r="G2089" s="1905">
        <f t="shared" si="442"/>
        <v>1.060702875399361</v>
      </c>
      <c r="H2089" s="1635">
        <f t="shared" si="439"/>
        <v>6308</v>
      </c>
      <c r="AC2089" s="1636">
        <v>6308</v>
      </c>
    </row>
    <row r="2090" spans="1:29" ht="17.100000000000001" customHeight="1">
      <c r="A2090" s="1666"/>
      <c r="B2090" s="1678"/>
      <c r="C2090" s="2327" t="s">
        <v>1053</v>
      </c>
      <c r="D2090" s="2328" t="s">
        <v>985</v>
      </c>
      <c r="E2090" s="1904">
        <v>1049</v>
      </c>
      <c r="F2090" s="1904">
        <f t="shared" si="441"/>
        <v>1112</v>
      </c>
      <c r="G2090" s="1905">
        <f t="shared" si="442"/>
        <v>1.0600571973307913</v>
      </c>
      <c r="H2090" s="1635">
        <f t="shared" si="439"/>
        <v>1112</v>
      </c>
      <c r="AC2090" s="1636">
        <v>1112</v>
      </c>
    </row>
    <row r="2091" spans="1:29" ht="17.100000000000001" hidden="1" customHeight="1">
      <c r="A2091" s="1666"/>
      <c r="B2091" s="1678"/>
      <c r="C2091" s="2327" t="s">
        <v>893</v>
      </c>
      <c r="D2091" s="2328" t="s">
        <v>788</v>
      </c>
      <c r="E2091" s="1904">
        <v>0</v>
      </c>
      <c r="F2091" s="1904">
        <f t="shared" si="441"/>
        <v>0</v>
      </c>
      <c r="G2091" s="2324" t="e">
        <f t="shared" si="442"/>
        <v>#DIV/0!</v>
      </c>
      <c r="H2091" s="1635">
        <f t="shared" si="439"/>
        <v>0</v>
      </c>
    </row>
    <row r="2092" spans="1:29" ht="17.100000000000001" customHeight="1">
      <c r="A2092" s="1666"/>
      <c r="B2092" s="1678"/>
      <c r="C2092" s="2327" t="s">
        <v>896</v>
      </c>
      <c r="D2092" s="2587" t="s">
        <v>769</v>
      </c>
      <c r="E2092" s="1904">
        <v>424</v>
      </c>
      <c r="F2092" s="1904">
        <f t="shared" si="441"/>
        <v>848</v>
      </c>
      <c r="G2092" s="2324">
        <f t="shared" si="442"/>
        <v>2</v>
      </c>
      <c r="H2092" s="1635">
        <f t="shared" si="439"/>
        <v>848</v>
      </c>
      <c r="AC2092" s="1636">
        <v>848</v>
      </c>
    </row>
    <row r="2093" spans="1:29" ht="17.100000000000001" customHeight="1" thickBot="1">
      <c r="A2093" s="1666"/>
      <c r="B2093" s="1678"/>
      <c r="C2093" s="2327" t="s">
        <v>856</v>
      </c>
      <c r="D2093" s="2584" t="s">
        <v>769</v>
      </c>
      <c r="E2093" s="1904">
        <v>76</v>
      </c>
      <c r="F2093" s="1904">
        <f t="shared" si="441"/>
        <v>152</v>
      </c>
      <c r="G2093" s="2324">
        <f t="shared" si="442"/>
        <v>2</v>
      </c>
      <c r="H2093" s="1635">
        <f t="shared" si="439"/>
        <v>152</v>
      </c>
      <c r="AC2093" s="1636">
        <v>152</v>
      </c>
    </row>
    <row r="2094" spans="1:29" ht="17.100000000000001" customHeight="1" thickBot="1">
      <c r="A2094" s="1666"/>
      <c r="B2094" s="1734" t="s">
        <v>1203</v>
      </c>
      <c r="C2094" s="1735"/>
      <c r="D2094" s="1736" t="s">
        <v>1204</v>
      </c>
      <c r="E2094" s="1737">
        <f>E2095+E2120</f>
        <v>386018</v>
      </c>
      <c r="F2094" s="1737">
        <f>F2095+F2120</f>
        <v>657938</v>
      </c>
      <c r="G2094" s="1738">
        <f t="shared" si="442"/>
        <v>1.7044231098031699</v>
      </c>
      <c r="H2094" s="1635">
        <f t="shared" si="439"/>
        <v>0</v>
      </c>
    </row>
    <row r="2095" spans="1:29" ht="17.100000000000001" customHeight="1">
      <c r="A2095" s="1666"/>
      <c r="B2095" s="1678"/>
      <c r="C2095" s="3662" t="s">
        <v>755</v>
      </c>
      <c r="D2095" s="3488"/>
      <c r="E2095" s="1672">
        <f t="shared" ref="E2095:F2095" si="443">E2096+E2117</f>
        <v>294502</v>
      </c>
      <c r="F2095" s="1672">
        <f t="shared" si="443"/>
        <v>632938</v>
      </c>
      <c r="G2095" s="1673">
        <f t="shared" si="442"/>
        <v>2.1491806507256319</v>
      </c>
      <c r="H2095" s="1635">
        <f t="shared" si="439"/>
        <v>0</v>
      </c>
    </row>
    <row r="2096" spans="1:29" ht="17.100000000000001" customHeight="1">
      <c r="A2096" s="1666"/>
      <c r="B2096" s="1678"/>
      <c r="C2096" s="3763" t="s">
        <v>756</v>
      </c>
      <c r="D2096" s="3763"/>
      <c r="E2096" s="1904">
        <f t="shared" ref="E2096:F2096" si="444">E2097+E2106</f>
        <v>292133</v>
      </c>
      <c r="F2096" s="1904">
        <f t="shared" si="444"/>
        <v>630569</v>
      </c>
      <c r="G2096" s="1905">
        <f t="shared" si="442"/>
        <v>2.1584997244405804</v>
      </c>
      <c r="H2096" s="1635">
        <f t="shared" si="439"/>
        <v>0</v>
      </c>
    </row>
    <row r="2097" spans="1:29" ht="17.100000000000001" customHeight="1">
      <c r="A2097" s="1666"/>
      <c r="B2097" s="1678"/>
      <c r="C2097" s="3771" t="s">
        <v>757</v>
      </c>
      <c r="D2097" s="3771"/>
      <c r="E2097" s="1904">
        <f>SUM(E2098:E2104)</f>
        <v>40020</v>
      </c>
      <c r="F2097" s="1904">
        <f>SUM(F2098:F2104)</f>
        <v>76548</v>
      </c>
      <c r="G2097" s="1905">
        <f t="shared" si="442"/>
        <v>1.9127436281859072</v>
      </c>
      <c r="H2097" s="1635">
        <f t="shared" si="439"/>
        <v>0</v>
      </c>
    </row>
    <row r="2098" spans="1:29" ht="17.100000000000001" hidden="1" customHeight="1">
      <c r="A2098" s="1666"/>
      <c r="B2098" s="1678"/>
      <c r="C2098" s="2327" t="s">
        <v>758</v>
      </c>
      <c r="D2098" s="2328" t="s">
        <v>759</v>
      </c>
      <c r="E2098" s="1904">
        <v>33441</v>
      </c>
      <c r="F2098" s="1904">
        <f>H2098</f>
        <v>0</v>
      </c>
      <c r="G2098" s="1905">
        <f t="shared" si="442"/>
        <v>0</v>
      </c>
      <c r="H2098" s="1635">
        <f t="shared" si="439"/>
        <v>0</v>
      </c>
      <c r="AC2098" s="1636">
        <v>0</v>
      </c>
    </row>
    <row r="2099" spans="1:29" ht="17.100000000000001" hidden="1" customHeight="1">
      <c r="A2099" s="1666"/>
      <c r="B2099" s="1678"/>
      <c r="C2099" s="2327" t="s">
        <v>760</v>
      </c>
      <c r="D2099" s="2328" t="s">
        <v>761</v>
      </c>
      <c r="E2099" s="1904">
        <v>0</v>
      </c>
      <c r="F2099" s="1904">
        <f t="shared" ref="F2099:F2102" si="445">H2099</f>
        <v>0</v>
      </c>
      <c r="G2099" s="1905" t="e">
        <f t="shared" si="442"/>
        <v>#DIV/0!</v>
      </c>
      <c r="H2099" s="1635">
        <f t="shared" si="439"/>
        <v>0</v>
      </c>
      <c r="AC2099" s="1636">
        <v>0</v>
      </c>
    </row>
    <row r="2100" spans="1:29" ht="17.100000000000001" customHeight="1">
      <c r="A2100" s="1666"/>
      <c r="B2100" s="1678"/>
      <c r="C2100" s="2434" t="s">
        <v>762</v>
      </c>
      <c r="D2100" s="2435" t="s">
        <v>763</v>
      </c>
      <c r="E2100" s="1904">
        <v>5759</v>
      </c>
      <c r="F2100" s="1904">
        <f t="shared" si="445"/>
        <v>11069</v>
      </c>
      <c r="G2100" s="1905">
        <f t="shared" si="442"/>
        <v>1.9220350755339468</v>
      </c>
      <c r="H2100" s="1635">
        <f t="shared" si="439"/>
        <v>11069</v>
      </c>
      <c r="AC2100" s="1636">
        <v>11069</v>
      </c>
    </row>
    <row r="2101" spans="1:29" ht="30" customHeight="1">
      <c r="A2101" s="1666"/>
      <c r="B2101" s="1678"/>
      <c r="C2101" s="1719" t="s">
        <v>764</v>
      </c>
      <c r="D2101" s="1720" t="s">
        <v>1440</v>
      </c>
      <c r="E2101" s="1749">
        <v>820</v>
      </c>
      <c r="F2101" s="1904">
        <f t="shared" si="445"/>
        <v>1578</v>
      </c>
      <c r="G2101" s="1750">
        <f t="shared" si="442"/>
        <v>1.924390243902439</v>
      </c>
      <c r="H2101" s="1635">
        <f t="shared" si="439"/>
        <v>1578</v>
      </c>
      <c r="AC2101" s="1636">
        <v>1578</v>
      </c>
    </row>
    <row r="2102" spans="1:29" ht="18.75" hidden="1" customHeight="1">
      <c r="A2102" s="1666"/>
      <c r="B2102" s="1678"/>
      <c r="C2102" s="2487" t="s">
        <v>766</v>
      </c>
      <c r="D2102" s="2344" t="s">
        <v>767</v>
      </c>
      <c r="E2102" s="1749"/>
      <c r="F2102" s="1904">
        <f t="shared" si="445"/>
        <v>0</v>
      </c>
      <c r="G2102" s="1905" t="e">
        <f t="shared" si="442"/>
        <v>#DIV/0!</v>
      </c>
      <c r="H2102" s="1635">
        <f t="shared" si="439"/>
        <v>0</v>
      </c>
    </row>
    <row r="2103" spans="1:29" ht="18.75" customHeight="1">
      <c r="A2103" s="1666"/>
      <c r="B2103" s="1678"/>
      <c r="C2103" s="2327" t="s">
        <v>1101</v>
      </c>
      <c r="D2103" s="2328" t="s">
        <v>1102</v>
      </c>
      <c r="E2103" s="1749">
        <v>0</v>
      </c>
      <c r="F2103" s="1749">
        <f>H2103</f>
        <v>62154</v>
      </c>
      <c r="G2103" s="1905"/>
      <c r="H2103" s="1635">
        <f t="shared" si="439"/>
        <v>62154</v>
      </c>
      <c r="AC2103" s="1636">
        <v>62154</v>
      </c>
    </row>
    <row r="2104" spans="1:29" ht="18.75" customHeight="1">
      <c r="A2104" s="1666"/>
      <c r="B2104" s="1678"/>
      <c r="C2104" s="2327" t="s">
        <v>1103</v>
      </c>
      <c r="D2104" s="2328" t="s">
        <v>1104</v>
      </c>
      <c r="E2104" s="1749">
        <v>0</v>
      </c>
      <c r="F2104" s="1749">
        <f>H2104</f>
        <v>1747</v>
      </c>
      <c r="G2104" s="1905"/>
      <c r="H2104" s="1635">
        <f t="shared" si="439"/>
        <v>1747</v>
      </c>
      <c r="AC2104" s="1636">
        <v>1747</v>
      </c>
    </row>
    <row r="2105" spans="1:29" ht="17.100000000000001" customHeight="1">
      <c r="A2105" s="1666"/>
      <c r="B2105" s="2588"/>
      <c r="C2105" s="2589"/>
      <c r="D2105" s="2589"/>
      <c r="E2105" s="1749"/>
      <c r="F2105" s="1749"/>
      <c r="G2105" s="1784"/>
      <c r="H2105" s="1635">
        <f t="shared" si="439"/>
        <v>0</v>
      </c>
    </row>
    <row r="2106" spans="1:29" ht="17.100000000000001" customHeight="1">
      <c r="A2106" s="1666"/>
      <c r="B2106" s="1678"/>
      <c r="C2106" s="3514" t="s">
        <v>770</v>
      </c>
      <c r="D2106" s="3514"/>
      <c r="E2106" s="2590">
        <f t="shared" ref="E2106:F2106" si="446">SUM(E2107:E2115)</f>
        <v>252113</v>
      </c>
      <c r="F2106" s="2590">
        <f t="shared" si="446"/>
        <v>554021</v>
      </c>
      <c r="G2106" s="2591">
        <f t="shared" ref="G2106:G2115" si="447">F2106/E2106</f>
        <v>2.1975106400701274</v>
      </c>
      <c r="H2106" s="1635">
        <f t="shared" si="439"/>
        <v>0</v>
      </c>
    </row>
    <row r="2107" spans="1:29" ht="17.100000000000001" customHeight="1">
      <c r="A2107" s="1666"/>
      <c r="B2107" s="1678"/>
      <c r="C2107" s="2327" t="s">
        <v>773</v>
      </c>
      <c r="D2107" s="2328" t="s">
        <v>774</v>
      </c>
      <c r="E2107" s="1904">
        <v>10000</v>
      </c>
      <c r="F2107" s="1904">
        <f>H2107</f>
        <v>10000</v>
      </c>
      <c r="G2107" s="1905">
        <f t="shared" si="447"/>
        <v>1</v>
      </c>
      <c r="H2107" s="1635">
        <f t="shared" si="439"/>
        <v>10000</v>
      </c>
      <c r="AC2107" s="1636">
        <v>10000</v>
      </c>
    </row>
    <row r="2108" spans="1:29" ht="17.100000000000001" customHeight="1">
      <c r="A2108" s="1666"/>
      <c r="B2108" s="1678"/>
      <c r="C2108" s="2327" t="s">
        <v>777</v>
      </c>
      <c r="D2108" s="2328" t="s">
        <v>778</v>
      </c>
      <c r="E2108" s="1904">
        <v>0</v>
      </c>
      <c r="F2108" s="1904">
        <f t="shared" ref="F2108:F2115" si="448">H2108</f>
        <v>220392</v>
      </c>
      <c r="G2108" s="1905"/>
      <c r="H2108" s="1635">
        <f t="shared" si="439"/>
        <v>220392</v>
      </c>
      <c r="AC2108" s="1636">
        <v>220392</v>
      </c>
    </row>
    <row r="2109" spans="1:29" ht="17.100000000000001" customHeight="1">
      <c r="A2109" s="1666"/>
      <c r="B2109" s="1678"/>
      <c r="C2109" s="2592" t="s">
        <v>779</v>
      </c>
      <c r="D2109" s="2328" t="s">
        <v>780</v>
      </c>
      <c r="E2109" s="1904">
        <v>228484</v>
      </c>
      <c r="F2109" s="1904">
        <f t="shared" si="448"/>
        <v>310000</v>
      </c>
      <c r="G2109" s="1905">
        <f t="shared" si="447"/>
        <v>1.3567689641287792</v>
      </c>
      <c r="H2109" s="1635">
        <f t="shared" si="439"/>
        <v>310000</v>
      </c>
      <c r="AC2109" s="1636">
        <v>310000</v>
      </c>
    </row>
    <row r="2110" spans="1:29" ht="17.100000000000001" customHeight="1">
      <c r="A2110" s="1666"/>
      <c r="B2110" s="1678"/>
      <c r="C2110" s="2592" t="s">
        <v>781</v>
      </c>
      <c r="D2110" s="2328" t="s">
        <v>782</v>
      </c>
      <c r="E2110" s="1904">
        <v>600</v>
      </c>
      <c r="F2110" s="1904">
        <f t="shared" si="448"/>
        <v>600</v>
      </c>
      <c r="G2110" s="1905">
        <f t="shared" si="447"/>
        <v>1</v>
      </c>
      <c r="H2110" s="1635">
        <f t="shared" si="439"/>
        <v>600</v>
      </c>
      <c r="AC2110" s="1636">
        <v>600</v>
      </c>
    </row>
    <row r="2111" spans="1:29" ht="17.100000000000001" customHeight="1">
      <c r="A2111" s="1666"/>
      <c r="B2111" s="1678"/>
      <c r="C2111" s="2592" t="s">
        <v>783</v>
      </c>
      <c r="D2111" s="2328" t="s">
        <v>784</v>
      </c>
      <c r="E2111" s="1904">
        <v>10000</v>
      </c>
      <c r="F2111" s="1904">
        <f t="shared" si="448"/>
        <v>10000</v>
      </c>
      <c r="G2111" s="1905">
        <f t="shared" si="447"/>
        <v>1</v>
      </c>
      <c r="H2111" s="1635">
        <f t="shared" si="439"/>
        <v>10000</v>
      </c>
      <c r="AC2111" s="1636">
        <v>10000</v>
      </c>
    </row>
    <row r="2112" spans="1:29" ht="16.5" hidden="1" customHeight="1">
      <c r="A2112" s="3182"/>
      <c r="B2112" s="3519"/>
      <c r="C2112" s="3101" t="s">
        <v>785</v>
      </c>
      <c r="D2112" s="3080" t="s">
        <v>985</v>
      </c>
      <c r="E2112" s="2756"/>
      <c r="F2112" s="2756">
        <f t="shared" si="448"/>
        <v>0</v>
      </c>
      <c r="G2112" s="1905" t="e">
        <f t="shared" si="447"/>
        <v>#DIV/0!</v>
      </c>
      <c r="H2112" s="1635">
        <f t="shared" si="439"/>
        <v>0</v>
      </c>
    </row>
    <row r="2113" spans="1:29" ht="16.5" hidden="1" customHeight="1">
      <c r="A2113" s="3182"/>
      <c r="B2113" s="3519"/>
      <c r="C2113" s="3102" t="s">
        <v>793</v>
      </c>
      <c r="D2113" s="3103" t="s">
        <v>794</v>
      </c>
      <c r="E2113" s="2756"/>
      <c r="F2113" s="2756">
        <f t="shared" si="448"/>
        <v>0</v>
      </c>
      <c r="G2113" s="1905"/>
      <c r="H2113" s="1635">
        <f t="shared" si="439"/>
        <v>0</v>
      </c>
    </row>
    <row r="2114" spans="1:29" ht="17.100000000000001" customHeight="1">
      <c r="A2114" s="3182"/>
      <c r="B2114" s="3519"/>
      <c r="C2114" s="3104" t="s">
        <v>795</v>
      </c>
      <c r="D2114" s="3103" t="s">
        <v>796</v>
      </c>
      <c r="E2114" s="2756">
        <v>3029</v>
      </c>
      <c r="F2114" s="2756">
        <f t="shared" si="448"/>
        <v>3029</v>
      </c>
      <c r="G2114" s="1905">
        <f t="shared" si="447"/>
        <v>1</v>
      </c>
      <c r="H2114" s="1635">
        <f t="shared" si="439"/>
        <v>3029</v>
      </c>
      <c r="AC2114" s="1636">
        <v>3029</v>
      </c>
    </row>
    <row r="2115" spans="1:29" ht="17.100000000000001" hidden="1" customHeight="1">
      <c r="A2115" s="3182"/>
      <c r="B2115" s="3519"/>
      <c r="C2115" s="3105" t="s">
        <v>801</v>
      </c>
      <c r="D2115" s="3106" t="s">
        <v>1200</v>
      </c>
      <c r="E2115" s="2756">
        <v>0</v>
      </c>
      <c r="F2115" s="2756">
        <f t="shared" si="448"/>
        <v>0</v>
      </c>
      <c r="G2115" s="1905" t="e">
        <f t="shared" si="447"/>
        <v>#DIV/0!</v>
      </c>
      <c r="H2115" s="1635">
        <f t="shared" si="439"/>
        <v>0</v>
      </c>
    </row>
    <row r="2116" spans="1:29" ht="17.100000000000001" customHeight="1">
      <c r="A2116" s="3182"/>
      <c r="B2116" s="3519"/>
      <c r="C2116" s="3107"/>
      <c r="D2116" s="3108"/>
      <c r="E2116" s="3109"/>
      <c r="F2116" s="3109"/>
      <c r="G2116" s="2070"/>
      <c r="H2116" s="1635">
        <f t="shared" si="439"/>
        <v>0</v>
      </c>
    </row>
    <row r="2117" spans="1:29" ht="17.100000000000001" customHeight="1">
      <c r="A2117" s="3182"/>
      <c r="B2117" s="3519"/>
      <c r="C2117" s="3621" t="s">
        <v>807</v>
      </c>
      <c r="D2117" s="3621"/>
      <c r="E2117" s="3078">
        <f t="shared" ref="E2117:F2117" si="449">E2118</f>
        <v>2369</v>
      </c>
      <c r="F2117" s="3078">
        <f t="shared" si="449"/>
        <v>2369</v>
      </c>
      <c r="G2117" s="1750">
        <f t="shared" ref="G2117:G2122" si="450">F2117/E2117</f>
        <v>1</v>
      </c>
      <c r="H2117" s="1635">
        <f t="shared" si="439"/>
        <v>0</v>
      </c>
    </row>
    <row r="2118" spans="1:29" ht="17.100000000000001" customHeight="1" thickBot="1">
      <c r="A2118" s="1792"/>
      <c r="B2118" s="3773"/>
      <c r="C2118" s="3081" t="s">
        <v>808</v>
      </c>
      <c r="D2118" s="3082" t="s">
        <v>809</v>
      </c>
      <c r="E2118" s="1694">
        <v>2369</v>
      </c>
      <c r="F2118" s="1694">
        <f>H2118</f>
        <v>2369</v>
      </c>
      <c r="G2118" s="2324">
        <f t="shared" si="450"/>
        <v>1</v>
      </c>
      <c r="H2118" s="1635">
        <f t="shared" si="439"/>
        <v>2369</v>
      </c>
      <c r="AC2118" s="1636">
        <v>2369</v>
      </c>
    </row>
    <row r="2119" spans="1:29" ht="17.100000000000001" customHeight="1">
      <c r="A2119" s="1666"/>
      <c r="B2119" s="1678"/>
      <c r="C2119" s="3776"/>
      <c r="D2119" s="3777"/>
      <c r="E2119" s="3078"/>
      <c r="F2119" s="3078"/>
      <c r="G2119" s="2324"/>
      <c r="H2119" s="1635">
        <f t="shared" si="439"/>
        <v>0</v>
      </c>
    </row>
    <row r="2120" spans="1:29" ht="17.100000000000001" customHeight="1">
      <c r="A2120" s="1666"/>
      <c r="B2120" s="1678"/>
      <c r="C2120" s="3751" t="s">
        <v>810</v>
      </c>
      <c r="D2120" s="3751"/>
      <c r="E2120" s="2071">
        <f>E2121</f>
        <v>91516</v>
      </c>
      <c r="F2120" s="2071">
        <f>F2121</f>
        <v>25000</v>
      </c>
      <c r="G2120" s="2593">
        <f t="shared" si="450"/>
        <v>0.27317627518685256</v>
      </c>
      <c r="H2120" s="1635">
        <f t="shared" si="439"/>
        <v>0</v>
      </c>
    </row>
    <row r="2121" spans="1:29" ht="17.100000000000001" customHeight="1">
      <c r="A2121" s="1666"/>
      <c r="B2121" s="1678"/>
      <c r="C2121" s="3745" t="s">
        <v>811</v>
      </c>
      <c r="D2121" s="3745"/>
      <c r="E2121" s="1904">
        <f>E2122</f>
        <v>91516</v>
      </c>
      <c r="F2121" s="1904">
        <f>F2122</f>
        <v>25000</v>
      </c>
      <c r="G2121" s="2324">
        <f t="shared" si="450"/>
        <v>0.27317627518685256</v>
      </c>
      <c r="H2121" s="1635">
        <f t="shared" si="439"/>
        <v>0</v>
      </c>
    </row>
    <row r="2122" spans="1:29" ht="17.100000000000001" customHeight="1" thickBot="1">
      <c r="A2122" s="1666"/>
      <c r="B2122" s="1678"/>
      <c r="C2122" s="1706" t="s">
        <v>821</v>
      </c>
      <c r="D2122" s="2328" t="s">
        <v>813</v>
      </c>
      <c r="E2122" s="1904">
        <v>91516</v>
      </c>
      <c r="F2122" s="1904">
        <f>H2122</f>
        <v>25000</v>
      </c>
      <c r="G2122" s="2324">
        <f t="shared" si="450"/>
        <v>0.27317627518685256</v>
      </c>
      <c r="H2122" s="1635">
        <f t="shared" si="439"/>
        <v>25000</v>
      </c>
      <c r="AC2122" s="1636">
        <v>25000</v>
      </c>
    </row>
    <row r="2123" spans="1:29" ht="17.100000000000001" hidden="1" customHeight="1" thickBot="1">
      <c r="A2123" s="1666"/>
      <c r="B2123" s="1734" t="s">
        <v>1205</v>
      </c>
      <c r="C2123" s="1735"/>
      <c r="D2123" s="1736" t="s">
        <v>1206</v>
      </c>
      <c r="E2123" s="1814">
        <f>E2124+E2128</f>
        <v>200000</v>
      </c>
      <c r="F2123" s="1814">
        <f>F2124+F2128</f>
        <v>0</v>
      </c>
      <c r="G2123" s="1815">
        <f t="shared" si="442"/>
        <v>0</v>
      </c>
      <c r="H2123" s="1635">
        <f t="shared" si="439"/>
        <v>0</v>
      </c>
    </row>
    <row r="2124" spans="1:29" ht="17.100000000000001" hidden="1" customHeight="1">
      <c r="A2124" s="1666"/>
      <c r="B2124" s="1867"/>
      <c r="C2124" s="3517" t="s">
        <v>755</v>
      </c>
      <c r="D2124" s="3517"/>
      <c r="E2124" s="1822">
        <f t="shared" ref="E2124:F2124" si="451">E2125</f>
        <v>200000</v>
      </c>
      <c r="F2124" s="1822">
        <f t="shared" si="451"/>
        <v>0</v>
      </c>
      <c r="G2124" s="1816">
        <f t="shared" si="442"/>
        <v>0</v>
      </c>
      <c r="H2124" s="1635">
        <f t="shared" si="439"/>
        <v>0</v>
      </c>
    </row>
    <row r="2125" spans="1:29" ht="17.100000000000001" hidden="1" customHeight="1">
      <c r="A2125" s="1666"/>
      <c r="B2125" s="1867"/>
      <c r="C2125" s="3778" t="s">
        <v>1207</v>
      </c>
      <c r="D2125" s="3779"/>
      <c r="E2125" s="2419">
        <f>E2126</f>
        <v>200000</v>
      </c>
      <c r="F2125" s="2419">
        <f>F2126</f>
        <v>0</v>
      </c>
      <c r="G2125" s="1750">
        <f t="shared" si="442"/>
        <v>0</v>
      </c>
      <c r="H2125" s="1635">
        <f t="shared" si="439"/>
        <v>0</v>
      </c>
    </row>
    <row r="2126" spans="1:29" ht="33.75" hidden="1" customHeight="1" thickBot="1">
      <c r="A2126" s="1666"/>
      <c r="B2126" s="1867"/>
      <c r="C2126" s="2594" t="s">
        <v>394</v>
      </c>
      <c r="D2126" s="2595" t="s">
        <v>978</v>
      </c>
      <c r="E2126" s="2210">
        <v>200000</v>
      </c>
      <c r="F2126" s="2210">
        <f>H2126</f>
        <v>0</v>
      </c>
      <c r="G2126" s="1750">
        <f t="shared" si="442"/>
        <v>0</v>
      </c>
      <c r="H2126" s="1635">
        <f t="shared" si="439"/>
        <v>0</v>
      </c>
    </row>
    <row r="2127" spans="1:29" ht="17.100000000000001" hidden="1" customHeight="1">
      <c r="A2127" s="1666"/>
      <c r="B2127" s="1867"/>
      <c r="C2127" s="2596"/>
      <c r="D2127" s="2597"/>
      <c r="E2127" s="1894"/>
      <c r="F2127" s="1894"/>
      <c r="G2127" s="1944"/>
      <c r="H2127" s="1635">
        <f t="shared" si="439"/>
        <v>0</v>
      </c>
    </row>
    <row r="2128" spans="1:29" ht="17.100000000000001" hidden="1" customHeight="1">
      <c r="A2128" s="1666"/>
      <c r="B2128" s="3467"/>
      <c r="C2128" s="3472" t="s">
        <v>810</v>
      </c>
      <c r="D2128" s="3472"/>
      <c r="E2128" s="1822">
        <f>E2129</f>
        <v>0</v>
      </c>
      <c r="F2128" s="1822">
        <f t="shared" ref="F2128:F2129" si="452">F2129</f>
        <v>0</v>
      </c>
      <c r="G2128" s="1891" t="e">
        <f t="shared" si="442"/>
        <v>#DIV/0!</v>
      </c>
      <c r="H2128" s="1635">
        <f t="shared" si="439"/>
        <v>0</v>
      </c>
    </row>
    <row r="2129" spans="1:11" ht="17.100000000000001" hidden="1" customHeight="1">
      <c r="A2129" s="1666"/>
      <c r="B2129" s="3467"/>
      <c r="C2129" s="3745" t="s">
        <v>811</v>
      </c>
      <c r="D2129" s="3772"/>
      <c r="E2129" s="1904">
        <f>E2130</f>
        <v>0</v>
      </c>
      <c r="F2129" s="1904">
        <f t="shared" si="452"/>
        <v>0</v>
      </c>
      <c r="G2129" s="1905" t="e">
        <f t="shared" si="442"/>
        <v>#DIV/0!</v>
      </c>
      <c r="H2129" s="1635">
        <f t="shared" si="439"/>
        <v>0</v>
      </c>
    </row>
    <row r="2130" spans="1:11" ht="41.25" hidden="1" customHeight="1" thickBot="1">
      <c r="A2130" s="1666"/>
      <c r="B2130" s="3467"/>
      <c r="C2130" s="2327" t="s">
        <v>938</v>
      </c>
      <c r="D2130" s="2328" t="s">
        <v>939</v>
      </c>
      <c r="E2130" s="2323">
        <v>0</v>
      </c>
      <c r="F2130" s="2323">
        <f>H2130</f>
        <v>0</v>
      </c>
      <c r="G2130" s="2324" t="e">
        <f t="shared" si="442"/>
        <v>#DIV/0!</v>
      </c>
      <c r="H2130" s="1635">
        <f t="shared" si="439"/>
        <v>0</v>
      </c>
    </row>
    <row r="2131" spans="1:11" ht="18" customHeight="1" thickBot="1">
      <c r="A2131" s="1660" t="s">
        <v>52</v>
      </c>
      <c r="B2131" s="1765"/>
      <c r="C2131" s="1766"/>
      <c r="D2131" s="1767" t="s">
        <v>1208</v>
      </c>
      <c r="E2131" s="1768">
        <f>E2132+E2138+E2189+E2219+E2158</f>
        <v>4865759</v>
      </c>
      <c r="F2131" s="1768">
        <f>F2132+F2138+F2189+F2219+F2158</f>
        <v>6241583</v>
      </c>
      <c r="G2131" s="1769">
        <f t="shared" si="442"/>
        <v>1.2827562976300306</v>
      </c>
      <c r="H2131" s="1635">
        <f t="shared" si="439"/>
        <v>0</v>
      </c>
    </row>
    <row r="2132" spans="1:11" ht="18" customHeight="1" thickBot="1">
      <c r="A2132" s="1666"/>
      <c r="B2132" s="1734" t="s">
        <v>1209</v>
      </c>
      <c r="C2132" s="1735"/>
      <c r="D2132" s="1736" t="s">
        <v>1210</v>
      </c>
      <c r="E2132" s="1737">
        <f t="shared" ref="E2132:F2132" si="453">E2133</f>
        <v>3641</v>
      </c>
      <c r="F2132" s="1737">
        <f t="shared" si="453"/>
        <v>3750</v>
      </c>
      <c r="G2132" s="1738">
        <f t="shared" si="442"/>
        <v>1.0299368305410601</v>
      </c>
      <c r="H2132" s="1635">
        <f t="shared" si="439"/>
        <v>0</v>
      </c>
    </row>
    <row r="2133" spans="1:11" ht="15.75" customHeight="1">
      <c r="A2133" s="1666"/>
      <c r="B2133" s="1678"/>
      <c r="C2133" s="3472" t="s">
        <v>755</v>
      </c>
      <c r="D2133" s="3472"/>
      <c r="E2133" s="1672">
        <f t="shared" ref="E2133:F2134" si="454">SUM(E2134)</f>
        <v>3641</v>
      </c>
      <c r="F2133" s="1672">
        <f t="shared" si="454"/>
        <v>3750</v>
      </c>
      <c r="G2133" s="1673">
        <f t="shared" si="442"/>
        <v>1.0299368305410601</v>
      </c>
      <c r="H2133" s="1635">
        <f t="shared" si="439"/>
        <v>0</v>
      </c>
    </row>
    <row r="2134" spans="1:11" ht="15.75" customHeight="1">
      <c r="A2134" s="1666"/>
      <c r="B2134" s="1678"/>
      <c r="C2134" s="3763" t="s">
        <v>756</v>
      </c>
      <c r="D2134" s="3763"/>
      <c r="E2134" s="1904">
        <f t="shared" si="454"/>
        <v>3641</v>
      </c>
      <c r="F2134" s="1904">
        <f t="shared" si="454"/>
        <v>3750</v>
      </c>
      <c r="G2134" s="1905">
        <f t="shared" si="442"/>
        <v>1.0299368305410601</v>
      </c>
      <c r="H2134" s="1635">
        <f t="shared" si="439"/>
        <v>0</v>
      </c>
    </row>
    <row r="2135" spans="1:11" ht="15.75" customHeight="1">
      <c r="A2135" s="1666"/>
      <c r="B2135" s="1678"/>
      <c r="C2135" s="3752" t="s">
        <v>770</v>
      </c>
      <c r="D2135" s="3752"/>
      <c r="E2135" s="1904">
        <f t="shared" ref="E2135:F2135" si="455">SUM(E2136:E2137)</f>
        <v>3641</v>
      </c>
      <c r="F2135" s="1904">
        <f t="shared" si="455"/>
        <v>3750</v>
      </c>
      <c r="G2135" s="1905">
        <f t="shared" si="442"/>
        <v>1.0299368305410601</v>
      </c>
      <c r="H2135" s="1635">
        <f t="shared" si="439"/>
        <v>0</v>
      </c>
    </row>
    <row r="2136" spans="1:11" ht="15.75" customHeight="1">
      <c r="A2136" s="1666"/>
      <c r="B2136" s="1678"/>
      <c r="C2136" s="2327" t="s">
        <v>773</v>
      </c>
      <c r="D2136" s="2328" t="s">
        <v>774</v>
      </c>
      <c r="E2136" s="1904">
        <v>1509</v>
      </c>
      <c r="F2136" s="1904">
        <f>H2136</f>
        <v>1583</v>
      </c>
      <c r="G2136" s="1905">
        <f t="shared" si="442"/>
        <v>1.049039098740888</v>
      </c>
      <c r="H2136" s="1635">
        <f t="shared" si="439"/>
        <v>1583</v>
      </c>
      <c r="K2136" s="1636">
        <v>1583</v>
      </c>
    </row>
    <row r="2137" spans="1:11" ht="15.75" customHeight="1" thickBot="1">
      <c r="A2137" s="1666"/>
      <c r="B2137" s="1678"/>
      <c r="C2137" s="2551" t="s">
        <v>783</v>
      </c>
      <c r="D2137" s="2490" t="s">
        <v>784</v>
      </c>
      <c r="E2137" s="2323">
        <v>2132</v>
      </c>
      <c r="F2137" s="1904">
        <f>H2137</f>
        <v>2167</v>
      </c>
      <c r="G2137" s="2324">
        <f t="shared" si="442"/>
        <v>1.0164165103189493</v>
      </c>
      <c r="H2137" s="1635">
        <f t="shared" si="439"/>
        <v>2167</v>
      </c>
      <c r="K2137" s="1636">
        <v>2167</v>
      </c>
    </row>
    <row r="2138" spans="1:11" ht="15" customHeight="1" thickBot="1">
      <c r="A2138" s="1666"/>
      <c r="B2138" s="1734" t="s">
        <v>109</v>
      </c>
      <c r="C2138" s="1893"/>
      <c r="D2138" s="1736" t="s">
        <v>664</v>
      </c>
      <c r="E2138" s="1737">
        <f>E2139</f>
        <v>400000</v>
      </c>
      <c r="F2138" s="1737">
        <f t="shared" ref="F2138" si="456">F2139</f>
        <v>250000</v>
      </c>
      <c r="G2138" s="1738">
        <f t="shared" si="442"/>
        <v>0.625</v>
      </c>
      <c r="H2138" s="1635">
        <f t="shared" si="439"/>
        <v>0</v>
      </c>
    </row>
    <row r="2139" spans="1:11" ht="12.75" customHeight="1">
      <c r="A2139" s="1666"/>
      <c r="B2139" s="1678"/>
      <c r="C2139" s="3472" t="s">
        <v>755</v>
      </c>
      <c r="D2139" s="3472"/>
      <c r="E2139" s="1672">
        <f>SUM(E2143,E2140)</f>
        <v>400000</v>
      </c>
      <c r="F2139" s="1672">
        <f t="shared" ref="F2139" si="457">SUM(F2143,F2140)</f>
        <v>250000</v>
      </c>
      <c r="G2139" s="1673">
        <f t="shared" si="442"/>
        <v>0.625</v>
      </c>
      <c r="H2139" s="1635">
        <f t="shared" si="439"/>
        <v>0</v>
      </c>
    </row>
    <row r="2140" spans="1:11" ht="16.5" customHeight="1">
      <c r="A2140" s="1666"/>
      <c r="B2140" s="1678"/>
      <c r="C2140" s="3774" t="s">
        <v>1207</v>
      </c>
      <c r="D2140" s="3775"/>
      <c r="E2140" s="1904">
        <f t="shared" ref="E2140:F2140" si="458">SUM(E2141)</f>
        <v>400000</v>
      </c>
      <c r="F2140" s="1904">
        <f t="shared" si="458"/>
        <v>250000</v>
      </c>
      <c r="G2140" s="1905">
        <f t="shared" si="442"/>
        <v>0.625</v>
      </c>
      <c r="H2140" s="1635">
        <f t="shared" si="439"/>
        <v>0</v>
      </c>
    </row>
    <row r="2141" spans="1:11" ht="55.5" customHeight="1" thickBot="1">
      <c r="A2141" s="1666"/>
      <c r="B2141" s="1678"/>
      <c r="C2141" s="2327" t="s">
        <v>409</v>
      </c>
      <c r="D2141" s="2328" t="s">
        <v>876</v>
      </c>
      <c r="E2141" s="2598">
        <v>400000</v>
      </c>
      <c r="F2141" s="2598">
        <f>H2141</f>
        <v>250000</v>
      </c>
      <c r="G2141" s="2599">
        <f t="shared" si="442"/>
        <v>0.625</v>
      </c>
      <c r="H2141" s="1635">
        <f t="shared" ref="H2141:H2204" si="459">SUM(I2141:AE2141)</f>
        <v>250000</v>
      </c>
      <c r="K2141" s="1636">
        <v>250000</v>
      </c>
    </row>
    <row r="2142" spans="1:11" ht="13.5" hidden="1" thickBot="1">
      <c r="A2142" s="1666"/>
      <c r="B2142" s="1678"/>
      <c r="C2142" s="2600"/>
      <c r="D2142" s="2600"/>
      <c r="E2142" s="2601"/>
      <c r="F2142" s="2601"/>
      <c r="G2142" s="2602"/>
      <c r="H2142" s="1635">
        <f t="shared" si="459"/>
        <v>0</v>
      </c>
    </row>
    <row r="2143" spans="1:11" ht="19.5" hidden="1" customHeight="1">
      <c r="A2143" s="1666"/>
      <c r="B2143" s="1678"/>
      <c r="C2143" s="3746" t="s">
        <v>825</v>
      </c>
      <c r="D2143" s="3746"/>
      <c r="E2143" s="2323">
        <f>SUM(E2144:E2157)</f>
        <v>0</v>
      </c>
      <c r="F2143" s="2323">
        <f>SUM(F2144:F2157)</f>
        <v>0</v>
      </c>
      <c r="G2143" s="2324" t="e">
        <f t="shared" si="442"/>
        <v>#DIV/0!</v>
      </c>
      <c r="H2143" s="1635">
        <f t="shared" si="459"/>
        <v>0</v>
      </c>
    </row>
    <row r="2144" spans="1:11" ht="51.75" hidden="1" thickBot="1">
      <c r="A2144" s="1666"/>
      <c r="B2144" s="1678"/>
      <c r="C2144" s="2327" t="s">
        <v>573</v>
      </c>
      <c r="D2144" s="1770" t="s">
        <v>827</v>
      </c>
      <c r="E2144" s="2323">
        <v>0</v>
      </c>
      <c r="F2144" s="2323">
        <f>H2144</f>
        <v>0</v>
      </c>
      <c r="G2144" s="2324" t="e">
        <f t="shared" si="442"/>
        <v>#DIV/0!</v>
      </c>
      <c r="H2144" s="1635">
        <f t="shared" si="459"/>
        <v>0</v>
      </c>
    </row>
    <row r="2145" spans="1:8" ht="15.75" hidden="1" customHeight="1">
      <c r="A2145" s="1666"/>
      <c r="B2145" s="1678"/>
      <c r="C2145" s="2327" t="s">
        <v>887</v>
      </c>
      <c r="D2145" s="2328" t="s">
        <v>759</v>
      </c>
      <c r="E2145" s="2323">
        <v>0</v>
      </c>
      <c r="F2145" s="2323">
        <f t="shared" ref="F2145:F2152" si="460">H2145</f>
        <v>0</v>
      </c>
      <c r="G2145" s="2324" t="e">
        <f t="shared" si="442"/>
        <v>#DIV/0!</v>
      </c>
      <c r="H2145" s="1635">
        <f t="shared" si="459"/>
        <v>0</v>
      </c>
    </row>
    <row r="2146" spans="1:8" ht="15.75" hidden="1" customHeight="1">
      <c r="A2146" s="1666"/>
      <c r="B2146" s="1678"/>
      <c r="C2146" s="2327" t="s">
        <v>829</v>
      </c>
      <c r="D2146" s="2328" t="s">
        <v>759</v>
      </c>
      <c r="E2146" s="2323">
        <v>0</v>
      </c>
      <c r="F2146" s="2323">
        <f t="shared" si="460"/>
        <v>0</v>
      </c>
      <c r="G2146" s="2324" t="e">
        <f t="shared" si="442"/>
        <v>#DIV/0!</v>
      </c>
      <c r="H2146" s="1635">
        <f t="shared" si="459"/>
        <v>0</v>
      </c>
    </row>
    <row r="2147" spans="1:8" ht="15.75" hidden="1" customHeight="1">
      <c r="A2147" s="1666"/>
      <c r="B2147" s="1678"/>
      <c r="C2147" s="2327" t="s">
        <v>888</v>
      </c>
      <c r="D2147" s="2328" t="s">
        <v>761</v>
      </c>
      <c r="E2147" s="2323">
        <v>0</v>
      </c>
      <c r="F2147" s="2323">
        <f t="shared" si="460"/>
        <v>0</v>
      </c>
      <c r="G2147" s="2324" t="e">
        <f t="shared" si="442"/>
        <v>#DIV/0!</v>
      </c>
      <c r="H2147" s="1635">
        <f t="shared" si="459"/>
        <v>0</v>
      </c>
    </row>
    <row r="2148" spans="1:8" ht="15.75" hidden="1" customHeight="1">
      <c r="A2148" s="1666"/>
      <c r="B2148" s="1678"/>
      <c r="C2148" s="2327" t="s">
        <v>831</v>
      </c>
      <c r="D2148" s="2328" t="s">
        <v>761</v>
      </c>
      <c r="E2148" s="2323">
        <v>0</v>
      </c>
      <c r="F2148" s="2323">
        <f t="shared" si="460"/>
        <v>0</v>
      </c>
      <c r="G2148" s="2324" t="e">
        <f t="shared" si="442"/>
        <v>#DIV/0!</v>
      </c>
      <c r="H2148" s="1635">
        <f t="shared" si="459"/>
        <v>0</v>
      </c>
    </row>
    <row r="2149" spans="1:8" ht="15.75" hidden="1" customHeight="1">
      <c r="A2149" s="1666"/>
      <c r="B2149" s="1678"/>
      <c r="C2149" s="2327" t="s">
        <v>889</v>
      </c>
      <c r="D2149" s="2328" t="s">
        <v>763</v>
      </c>
      <c r="E2149" s="2323">
        <v>0</v>
      </c>
      <c r="F2149" s="2323">
        <f t="shared" si="460"/>
        <v>0</v>
      </c>
      <c r="G2149" s="2324" t="e">
        <f t="shared" si="442"/>
        <v>#DIV/0!</v>
      </c>
      <c r="H2149" s="1635">
        <f t="shared" si="459"/>
        <v>0</v>
      </c>
    </row>
    <row r="2150" spans="1:8" ht="15.75" hidden="1" customHeight="1">
      <c r="A2150" s="1666"/>
      <c r="B2150" s="1678"/>
      <c r="C2150" s="2327" t="s">
        <v>833</v>
      </c>
      <c r="D2150" s="2328" t="s">
        <v>763</v>
      </c>
      <c r="E2150" s="2323">
        <v>0</v>
      </c>
      <c r="F2150" s="2323">
        <f t="shared" si="460"/>
        <v>0</v>
      </c>
      <c r="G2150" s="2324" t="e">
        <f t="shared" si="442"/>
        <v>#DIV/0!</v>
      </c>
      <c r="H2150" s="1635">
        <f t="shared" si="459"/>
        <v>0</v>
      </c>
    </row>
    <row r="2151" spans="1:8" ht="27.75" hidden="1" customHeight="1">
      <c r="A2151" s="1666"/>
      <c r="B2151" s="1678"/>
      <c r="C2151" s="2327" t="s">
        <v>890</v>
      </c>
      <c r="D2151" s="2328" t="s">
        <v>765</v>
      </c>
      <c r="E2151" s="2323">
        <v>0</v>
      </c>
      <c r="F2151" s="2323">
        <f t="shared" si="460"/>
        <v>0</v>
      </c>
      <c r="G2151" s="2324" t="e">
        <f t="shared" si="442"/>
        <v>#DIV/0!</v>
      </c>
      <c r="H2151" s="1635">
        <f t="shared" si="459"/>
        <v>0</v>
      </c>
    </row>
    <row r="2152" spans="1:8" ht="27" hidden="1" customHeight="1">
      <c r="A2152" s="1666"/>
      <c r="B2152" s="1678"/>
      <c r="C2152" s="2327" t="s">
        <v>835</v>
      </c>
      <c r="D2152" s="2328" t="s">
        <v>765</v>
      </c>
      <c r="E2152" s="2323">
        <v>0</v>
      </c>
      <c r="F2152" s="2323">
        <f t="shared" si="460"/>
        <v>0</v>
      </c>
      <c r="G2152" s="2324" t="e">
        <f t="shared" si="442"/>
        <v>#DIV/0!</v>
      </c>
      <c r="H2152" s="1635">
        <f t="shared" si="459"/>
        <v>0</v>
      </c>
    </row>
    <row r="2153" spans="1:8" ht="15.75" hidden="1" customHeight="1">
      <c r="A2153" s="1666"/>
      <c r="B2153" s="1678"/>
      <c r="C2153" s="2327" t="s">
        <v>891</v>
      </c>
      <c r="D2153" s="2328" t="s">
        <v>774</v>
      </c>
      <c r="E2153" s="2323"/>
      <c r="F2153" s="2323">
        <f>H2153</f>
        <v>0</v>
      </c>
      <c r="G2153" s="2324" t="e">
        <f t="shared" si="442"/>
        <v>#DIV/0!</v>
      </c>
      <c r="H2153" s="1635">
        <f t="shared" si="459"/>
        <v>0</v>
      </c>
    </row>
    <row r="2154" spans="1:8" ht="15.75" hidden="1" customHeight="1">
      <c r="A2154" s="1666"/>
      <c r="B2154" s="1678"/>
      <c r="C2154" s="2592" t="s">
        <v>842</v>
      </c>
      <c r="D2154" s="2328" t="s">
        <v>774</v>
      </c>
      <c r="E2154" s="2323"/>
      <c r="F2154" s="2323">
        <f t="shared" ref="F2154:F2157" si="461">H2154</f>
        <v>0</v>
      </c>
      <c r="G2154" s="2324" t="e">
        <f t="shared" si="442"/>
        <v>#DIV/0!</v>
      </c>
      <c r="H2154" s="1635">
        <f t="shared" si="459"/>
        <v>0</v>
      </c>
    </row>
    <row r="2155" spans="1:8" ht="15.75" hidden="1" customHeight="1">
      <c r="A2155" s="1666"/>
      <c r="B2155" s="1678"/>
      <c r="C2155" s="2327" t="s">
        <v>892</v>
      </c>
      <c r="D2155" s="2328" t="s">
        <v>784</v>
      </c>
      <c r="E2155" s="2323">
        <v>0</v>
      </c>
      <c r="F2155" s="2323">
        <f t="shared" si="461"/>
        <v>0</v>
      </c>
      <c r="G2155" s="2324" t="e">
        <f t="shared" si="442"/>
        <v>#DIV/0!</v>
      </c>
      <c r="H2155" s="1635">
        <f t="shared" si="459"/>
        <v>0</v>
      </c>
    </row>
    <row r="2156" spans="1:8" ht="15" hidden="1" customHeight="1">
      <c r="A2156" s="1666"/>
      <c r="B2156" s="1678"/>
      <c r="C2156" s="2489" t="s">
        <v>846</v>
      </c>
      <c r="D2156" s="2490" t="s">
        <v>784</v>
      </c>
      <c r="E2156" s="2323">
        <v>0</v>
      </c>
      <c r="F2156" s="2323">
        <f t="shared" si="461"/>
        <v>0</v>
      </c>
      <c r="G2156" s="2324" t="e">
        <f t="shared" si="442"/>
        <v>#DIV/0!</v>
      </c>
      <c r="H2156" s="1635">
        <f t="shared" si="459"/>
        <v>0</v>
      </c>
    </row>
    <row r="2157" spans="1:8" ht="15" hidden="1" customHeight="1" thickBot="1">
      <c r="A2157" s="1666"/>
      <c r="B2157" s="1678"/>
      <c r="C2157" s="2013" t="s">
        <v>1186</v>
      </c>
      <c r="D2157" s="1813" t="s">
        <v>796</v>
      </c>
      <c r="E2157" s="1694">
        <v>0</v>
      </c>
      <c r="F2157" s="2323">
        <f t="shared" si="461"/>
        <v>0</v>
      </c>
      <c r="G2157" s="1695" t="e">
        <f t="shared" si="442"/>
        <v>#DIV/0!</v>
      </c>
      <c r="H2157" s="1635">
        <f t="shared" si="459"/>
        <v>0</v>
      </c>
    </row>
    <row r="2158" spans="1:8" ht="15" hidden="1" customHeight="1" thickBot="1">
      <c r="A2158" s="1666"/>
      <c r="B2158" s="1734" t="s">
        <v>1211</v>
      </c>
      <c r="C2158" s="1893"/>
      <c r="D2158" s="1736" t="s">
        <v>1212</v>
      </c>
      <c r="E2158" s="1737">
        <f>E2159+E2179</f>
        <v>0</v>
      </c>
      <c r="F2158" s="1737">
        <f>F2159+F2179</f>
        <v>0</v>
      </c>
      <c r="G2158" s="2276" t="e">
        <f t="shared" si="442"/>
        <v>#DIV/0!</v>
      </c>
      <c r="H2158" s="1635">
        <f t="shared" si="459"/>
        <v>0</v>
      </c>
    </row>
    <row r="2159" spans="1:8" ht="15" hidden="1" customHeight="1">
      <c r="A2159" s="1666"/>
      <c r="B2159" s="1678"/>
      <c r="C2159" s="3472" t="s">
        <v>755</v>
      </c>
      <c r="D2159" s="3472"/>
      <c r="E2159" s="1688">
        <f>E2160</f>
        <v>0</v>
      </c>
      <c r="F2159" s="1688">
        <f>F2160</f>
        <v>0</v>
      </c>
      <c r="G2159" s="2603" t="e">
        <f>F2159/E2159</f>
        <v>#DIV/0!</v>
      </c>
      <c r="H2159" s="1635">
        <f t="shared" si="459"/>
        <v>0</v>
      </c>
    </row>
    <row r="2160" spans="1:8" ht="15" hidden="1" customHeight="1">
      <c r="A2160" s="1666"/>
      <c r="B2160" s="1678"/>
      <c r="C2160" s="3746" t="s">
        <v>825</v>
      </c>
      <c r="D2160" s="3746"/>
      <c r="E2160" s="1904">
        <f>SUM(E2161:E2177)</f>
        <v>0</v>
      </c>
      <c r="F2160" s="1904">
        <f>SUM(F2161:F2177)</f>
        <v>0</v>
      </c>
      <c r="G2160" s="1905" t="e">
        <f t="shared" ref="G2160:G2188" si="462">F2160/E2160</f>
        <v>#DIV/0!</v>
      </c>
      <c r="H2160" s="1635">
        <f t="shared" si="459"/>
        <v>0</v>
      </c>
    </row>
    <row r="2161" spans="1:8" ht="55.5" hidden="1" customHeight="1">
      <c r="A2161" s="1666"/>
      <c r="B2161" s="1678"/>
      <c r="C2161" s="2327" t="s">
        <v>573</v>
      </c>
      <c r="D2161" s="1770" t="s">
        <v>827</v>
      </c>
      <c r="E2161" s="1749">
        <v>0</v>
      </c>
      <c r="F2161" s="1749">
        <f>H2161</f>
        <v>0</v>
      </c>
      <c r="G2161" s="1905" t="e">
        <f t="shared" si="462"/>
        <v>#DIV/0!</v>
      </c>
      <c r="H2161" s="1635">
        <f t="shared" si="459"/>
        <v>0</v>
      </c>
    </row>
    <row r="2162" spans="1:8" ht="16.5" hidden="1" customHeight="1">
      <c r="A2162" s="1666"/>
      <c r="B2162" s="1678"/>
      <c r="C2162" s="2327" t="s">
        <v>887</v>
      </c>
      <c r="D2162" s="2328" t="s">
        <v>759</v>
      </c>
      <c r="E2162" s="1749">
        <v>0</v>
      </c>
      <c r="F2162" s="1749">
        <f t="shared" ref="F2162:F2177" si="463">H2162</f>
        <v>0</v>
      </c>
      <c r="G2162" s="1905" t="e">
        <f t="shared" si="462"/>
        <v>#DIV/0!</v>
      </c>
      <c r="H2162" s="1635">
        <f t="shared" si="459"/>
        <v>0</v>
      </c>
    </row>
    <row r="2163" spans="1:8" ht="19.5" hidden="1" customHeight="1">
      <c r="A2163" s="1666"/>
      <c r="B2163" s="1678"/>
      <c r="C2163" s="2327" t="s">
        <v>888</v>
      </c>
      <c r="D2163" s="2328" t="s">
        <v>761</v>
      </c>
      <c r="E2163" s="1749">
        <v>0</v>
      </c>
      <c r="F2163" s="1749">
        <f t="shared" si="463"/>
        <v>0</v>
      </c>
      <c r="G2163" s="1905"/>
      <c r="H2163" s="1635">
        <f t="shared" si="459"/>
        <v>0</v>
      </c>
    </row>
    <row r="2164" spans="1:8" ht="19.5" hidden="1" customHeight="1">
      <c r="A2164" s="1666"/>
      <c r="B2164" s="1678"/>
      <c r="C2164" s="2327" t="s">
        <v>889</v>
      </c>
      <c r="D2164" s="2328" t="s">
        <v>763</v>
      </c>
      <c r="E2164" s="1749">
        <v>0</v>
      </c>
      <c r="F2164" s="1749">
        <f t="shared" si="463"/>
        <v>0</v>
      </c>
      <c r="G2164" s="1905" t="e">
        <f t="shared" si="462"/>
        <v>#DIV/0!</v>
      </c>
      <c r="H2164" s="1635">
        <f t="shared" si="459"/>
        <v>0</v>
      </c>
    </row>
    <row r="2165" spans="1:8" ht="26.25" hidden="1" customHeight="1">
      <c r="A2165" s="1666"/>
      <c r="B2165" s="1678"/>
      <c r="C2165" s="2327" t="s">
        <v>890</v>
      </c>
      <c r="D2165" s="2328" t="s">
        <v>765</v>
      </c>
      <c r="E2165" s="1749">
        <v>0</v>
      </c>
      <c r="F2165" s="1749">
        <f t="shared" si="463"/>
        <v>0</v>
      </c>
      <c r="G2165" s="1905" t="e">
        <f t="shared" si="462"/>
        <v>#DIV/0!</v>
      </c>
      <c r="H2165" s="1635">
        <f t="shared" si="459"/>
        <v>0</v>
      </c>
    </row>
    <row r="2166" spans="1:8" ht="18.75" hidden="1" customHeight="1">
      <c r="A2166" s="1666"/>
      <c r="B2166" s="1678"/>
      <c r="C2166" s="2327" t="s">
        <v>1003</v>
      </c>
      <c r="D2166" s="2328" t="s">
        <v>767</v>
      </c>
      <c r="E2166" s="1749">
        <v>0</v>
      </c>
      <c r="F2166" s="1749">
        <f t="shared" si="463"/>
        <v>0</v>
      </c>
      <c r="G2166" s="1905"/>
      <c r="H2166" s="1635">
        <f t="shared" si="459"/>
        <v>0</v>
      </c>
    </row>
    <row r="2167" spans="1:8" ht="18" hidden="1" customHeight="1">
      <c r="A2167" s="1666"/>
      <c r="B2167" s="1678"/>
      <c r="C2167" s="2327" t="s">
        <v>891</v>
      </c>
      <c r="D2167" s="2328" t="s">
        <v>774</v>
      </c>
      <c r="E2167" s="1749">
        <v>0</v>
      </c>
      <c r="F2167" s="1749">
        <f t="shared" si="463"/>
        <v>0</v>
      </c>
      <c r="G2167" s="1905"/>
      <c r="H2167" s="1635">
        <f t="shared" si="459"/>
        <v>0</v>
      </c>
    </row>
    <row r="2168" spans="1:8" ht="16.5" hidden="1" customHeight="1">
      <c r="A2168" s="1666"/>
      <c r="B2168" s="1678"/>
      <c r="C2168" s="2327" t="s">
        <v>1120</v>
      </c>
      <c r="D2168" s="2328" t="s">
        <v>984</v>
      </c>
      <c r="E2168" s="1749">
        <v>0</v>
      </c>
      <c r="F2168" s="1749">
        <f t="shared" si="463"/>
        <v>0</v>
      </c>
      <c r="G2168" s="1905" t="e">
        <f t="shared" si="462"/>
        <v>#DIV/0!</v>
      </c>
      <c r="H2168" s="1635">
        <f t="shared" si="459"/>
        <v>0</v>
      </c>
    </row>
    <row r="2169" spans="1:8" ht="16.5" hidden="1" customHeight="1">
      <c r="A2169" s="1666"/>
      <c r="B2169" s="1678"/>
      <c r="C2169" s="1706" t="s">
        <v>1051</v>
      </c>
      <c r="D2169" s="1707" t="s">
        <v>778</v>
      </c>
      <c r="E2169" s="1749">
        <v>0</v>
      </c>
      <c r="F2169" s="1749">
        <f t="shared" si="463"/>
        <v>0</v>
      </c>
      <c r="G2169" s="1905"/>
      <c r="H2169" s="1635">
        <f t="shared" si="459"/>
        <v>0</v>
      </c>
    </row>
    <row r="2170" spans="1:8" ht="18" hidden="1" customHeight="1">
      <c r="A2170" s="1666"/>
      <c r="B2170" s="1678"/>
      <c r="C2170" s="2576" t="s">
        <v>1183</v>
      </c>
      <c r="D2170" s="2604" t="s">
        <v>782</v>
      </c>
      <c r="E2170" s="1749">
        <v>0</v>
      </c>
      <c r="F2170" s="1749">
        <f t="shared" si="463"/>
        <v>0</v>
      </c>
      <c r="G2170" s="1905"/>
      <c r="H2170" s="1635">
        <f t="shared" si="459"/>
        <v>0</v>
      </c>
    </row>
    <row r="2171" spans="1:8" ht="18" hidden="1" customHeight="1">
      <c r="A2171" s="1666"/>
      <c r="B2171" s="1678"/>
      <c r="C2171" s="1706" t="s">
        <v>892</v>
      </c>
      <c r="D2171" s="2604" t="s">
        <v>784</v>
      </c>
      <c r="E2171" s="1749">
        <v>0</v>
      </c>
      <c r="F2171" s="1749">
        <f t="shared" si="463"/>
        <v>0</v>
      </c>
      <c r="G2171" s="1905" t="e">
        <f t="shared" si="462"/>
        <v>#DIV/0!</v>
      </c>
      <c r="H2171" s="1635">
        <f t="shared" si="459"/>
        <v>0</v>
      </c>
    </row>
    <row r="2172" spans="1:8" ht="18.75" hidden="1" customHeight="1">
      <c r="A2172" s="1666"/>
      <c r="B2172" s="1678"/>
      <c r="C2172" s="2576" t="s">
        <v>846</v>
      </c>
      <c r="D2172" s="2604" t="s">
        <v>784</v>
      </c>
      <c r="E2172" s="1749">
        <v>0</v>
      </c>
      <c r="F2172" s="1749">
        <f t="shared" si="463"/>
        <v>0</v>
      </c>
      <c r="G2172" s="1905" t="e">
        <f t="shared" si="462"/>
        <v>#DIV/0!</v>
      </c>
      <c r="H2172" s="1635">
        <f t="shared" si="459"/>
        <v>0</v>
      </c>
    </row>
    <row r="2173" spans="1:8" ht="20.25" hidden="1" customHeight="1">
      <c r="A2173" s="1666"/>
      <c r="B2173" s="1678"/>
      <c r="C2173" s="1706" t="s">
        <v>1052</v>
      </c>
      <c r="D2173" s="1707" t="s">
        <v>786</v>
      </c>
      <c r="E2173" s="1749">
        <v>0</v>
      </c>
      <c r="F2173" s="1749">
        <f t="shared" si="463"/>
        <v>0</v>
      </c>
      <c r="G2173" s="1905"/>
      <c r="H2173" s="1635">
        <f t="shared" si="459"/>
        <v>0</v>
      </c>
    </row>
    <row r="2174" spans="1:8" ht="19.5" hidden="1" customHeight="1">
      <c r="A2174" s="1666"/>
      <c r="B2174" s="1678"/>
      <c r="C2174" s="2576" t="s">
        <v>894</v>
      </c>
      <c r="D2174" s="2605" t="s">
        <v>792</v>
      </c>
      <c r="E2174" s="1749">
        <v>0</v>
      </c>
      <c r="F2174" s="1749">
        <f t="shared" si="463"/>
        <v>0</v>
      </c>
      <c r="G2174" s="1905" t="e">
        <f t="shared" si="462"/>
        <v>#DIV/0!</v>
      </c>
      <c r="H2174" s="1635">
        <f t="shared" si="459"/>
        <v>0</v>
      </c>
    </row>
    <row r="2175" spans="1:8" ht="20.25" hidden="1" customHeight="1">
      <c r="A2175" s="1666"/>
      <c r="B2175" s="1678"/>
      <c r="C2175" s="1706" t="s">
        <v>1185</v>
      </c>
      <c r="D2175" s="1707" t="s">
        <v>796</v>
      </c>
      <c r="E2175" s="1749">
        <v>0</v>
      </c>
      <c r="F2175" s="1749">
        <f t="shared" si="463"/>
        <v>0</v>
      </c>
      <c r="G2175" s="1905" t="e">
        <f t="shared" si="462"/>
        <v>#DIV/0!</v>
      </c>
      <c r="H2175" s="1635">
        <f t="shared" si="459"/>
        <v>0</v>
      </c>
    </row>
    <row r="2176" spans="1:8" ht="19.5" hidden="1" customHeight="1">
      <c r="A2176" s="1666"/>
      <c r="B2176" s="1678"/>
      <c r="C2176" s="2576" t="s">
        <v>1187</v>
      </c>
      <c r="D2176" s="2605" t="s">
        <v>798</v>
      </c>
      <c r="E2176" s="1749">
        <v>0</v>
      </c>
      <c r="F2176" s="1749">
        <f t="shared" si="463"/>
        <v>0</v>
      </c>
      <c r="G2176" s="1905"/>
      <c r="H2176" s="1635">
        <f t="shared" si="459"/>
        <v>0</v>
      </c>
    </row>
    <row r="2177" spans="1:8" ht="18.75" hidden="1" customHeight="1">
      <c r="A2177" s="1666"/>
      <c r="B2177" s="1678"/>
      <c r="C2177" s="1706" t="s">
        <v>1189</v>
      </c>
      <c r="D2177" s="1707" t="s">
        <v>802</v>
      </c>
      <c r="E2177" s="1749">
        <v>0</v>
      </c>
      <c r="F2177" s="1749">
        <f t="shared" si="463"/>
        <v>0</v>
      </c>
      <c r="G2177" s="1905"/>
      <c r="H2177" s="1635">
        <f t="shared" si="459"/>
        <v>0</v>
      </c>
    </row>
    <row r="2178" spans="1:8" ht="15" hidden="1" customHeight="1">
      <c r="A2178" s="1666"/>
      <c r="B2178" s="1678"/>
      <c r="C2178" s="3782"/>
      <c r="D2178" s="3783"/>
      <c r="E2178" s="1904"/>
      <c r="F2178" s="1904"/>
      <c r="G2178" s="1905"/>
      <c r="H2178" s="1635">
        <f t="shared" si="459"/>
        <v>0</v>
      </c>
    </row>
    <row r="2179" spans="1:8" ht="15" hidden="1" customHeight="1">
      <c r="A2179" s="1666"/>
      <c r="B2179" s="1678"/>
      <c r="C2179" s="3751" t="s">
        <v>810</v>
      </c>
      <c r="D2179" s="3751"/>
      <c r="E2179" s="1688">
        <f>E2180</f>
        <v>0</v>
      </c>
      <c r="F2179" s="1688">
        <f>F2180</f>
        <v>0</v>
      </c>
      <c r="G2179" s="1905" t="e">
        <f t="shared" si="462"/>
        <v>#DIV/0!</v>
      </c>
      <c r="H2179" s="1635">
        <f t="shared" si="459"/>
        <v>0</v>
      </c>
    </row>
    <row r="2180" spans="1:8" ht="18" hidden="1" customHeight="1">
      <c r="A2180" s="1666"/>
      <c r="B2180" s="1678"/>
      <c r="C2180" s="3745" t="s">
        <v>811</v>
      </c>
      <c r="D2180" s="3745"/>
      <c r="E2180" s="1904">
        <f>SUM(E2181:E2183)</f>
        <v>0</v>
      </c>
      <c r="F2180" s="1904">
        <f>SUM(F2181:F2183)</f>
        <v>0</v>
      </c>
      <c r="G2180" s="1905" t="e">
        <f t="shared" si="462"/>
        <v>#DIV/0!</v>
      </c>
      <c r="H2180" s="1635">
        <f t="shared" si="459"/>
        <v>0</v>
      </c>
    </row>
    <row r="2181" spans="1:8" ht="16.5" hidden="1" customHeight="1">
      <c r="A2181" s="1666"/>
      <c r="B2181" s="1678"/>
      <c r="C2181" s="2327" t="s">
        <v>920</v>
      </c>
      <c r="D2181" s="2328" t="s">
        <v>813</v>
      </c>
      <c r="E2181" s="1904">
        <v>0</v>
      </c>
      <c r="F2181" s="1904">
        <f>H2181</f>
        <v>0</v>
      </c>
      <c r="G2181" s="1905" t="e">
        <f t="shared" si="462"/>
        <v>#DIV/0!</v>
      </c>
      <c r="H2181" s="1635">
        <f t="shared" si="459"/>
        <v>0</v>
      </c>
    </row>
    <row r="2182" spans="1:8" ht="18.75" hidden="1" customHeight="1">
      <c r="A2182" s="1666"/>
      <c r="B2182" s="1678"/>
      <c r="C2182" s="2327" t="s">
        <v>897</v>
      </c>
      <c r="D2182" s="2328" t="s">
        <v>861</v>
      </c>
      <c r="E2182" s="1904">
        <v>0</v>
      </c>
      <c r="F2182" s="1904">
        <f t="shared" ref="F2182:F2183" si="464">H2182</f>
        <v>0</v>
      </c>
      <c r="G2182" s="1905" t="e">
        <f t="shared" si="462"/>
        <v>#DIV/0!</v>
      </c>
      <c r="H2182" s="1635">
        <f t="shared" si="459"/>
        <v>0</v>
      </c>
    </row>
    <row r="2183" spans="1:8" ht="16.5" hidden="1" customHeight="1">
      <c r="A2183" s="1666"/>
      <c r="B2183" s="1678"/>
      <c r="C2183" s="2327" t="s">
        <v>918</v>
      </c>
      <c r="D2183" s="2328" t="s">
        <v>861</v>
      </c>
      <c r="E2183" s="1904">
        <v>0</v>
      </c>
      <c r="F2183" s="1904">
        <f t="shared" si="464"/>
        <v>0</v>
      </c>
      <c r="G2183" s="1905" t="e">
        <f t="shared" si="462"/>
        <v>#DIV/0!</v>
      </c>
      <c r="H2183" s="1635">
        <f t="shared" si="459"/>
        <v>0</v>
      </c>
    </row>
    <row r="2184" spans="1:8" ht="15" hidden="1" customHeight="1">
      <c r="A2184" s="1666"/>
      <c r="B2184" s="1678"/>
      <c r="C2184" s="3784"/>
      <c r="D2184" s="3785"/>
      <c r="E2184" s="2323"/>
      <c r="F2184" s="2323"/>
      <c r="G2184" s="1905"/>
      <c r="H2184" s="1635">
        <f t="shared" si="459"/>
        <v>0</v>
      </c>
    </row>
    <row r="2185" spans="1:8" ht="16.5" hidden="1" customHeight="1">
      <c r="A2185" s="1666"/>
      <c r="B2185" s="1678"/>
      <c r="C2185" s="3780" t="s">
        <v>823</v>
      </c>
      <c r="D2185" s="3781"/>
      <c r="E2185" s="1904">
        <f>SUM(E2186:E2188)</f>
        <v>0</v>
      </c>
      <c r="F2185" s="1904">
        <f>SUM(F2186:F2188)</f>
        <v>0</v>
      </c>
      <c r="G2185" s="1905" t="e">
        <f t="shared" si="462"/>
        <v>#DIV/0!</v>
      </c>
      <c r="H2185" s="1635">
        <f t="shared" si="459"/>
        <v>0</v>
      </c>
    </row>
    <row r="2186" spans="1:8" ht="18.75" hidden="1" customHeight="1">
      <c r="A2186" s="1666"/>
      <c r="B2186" s="1678"/>
      <c r="C2186" s="2576" t="s">
        <v>920</v>
      </c>
      <c r="D2186" s="2605" t="s">
        <v>813</v>
      </c>
      <c r="E2186" s="1904">
        <v>0</v>
      </c>
      <c r="F2186" s="1904">
        <f>H2186</f>
        <v>0</v>
      </c>
      <c r="G2186" s="1905" t="e">
        <f t="shared" si="462"/>
        <v>#DIV/0!</v>
      </c>
      <c r="H2186" s="1635">
        <f t="shared" si="459"/>
        <v>0</v>
      </c>
    </row>
    <row r="2187" spans="1:8" ht="18" hidden="1" customHeight="1">
      <c r="A2187" s="1666"/>
      <c r="B2187" s="1678"/>
      <c r="C2187" s="1706" t="s">
        <v>897</v>
      </c>
      <c r="D2187" s="1707" t="s">
        <v>861</v>
      </c>
      <c r="E2187" s="1904">
        <v>0</v>
      </c>
      <c r="F2187" s="1904">
        <f t="shared" ref="F2187:F2188" si="465">H2187</f>
        <v>0</v>
      </c>
      <c r="G2187" s="1905" t="e">
        <f t="shared" si="462"/>
        <v>#DIV/0!</v>
      </c>
      <c r="H2187" s="1635">
        <f t="shared" si="459"/>
        <v>0</v>
      </c>
    </row>
    <row r="2188" spans="1:8" ht="17.25" hidden="1" customHeight="1" thickBot="1">
      <c r="A2188" s="1666"/>
      <c r="B2188" s="1678"/>
      <c r="C2188" s="2013" t="s">
        <v>918</v>
      </c>
      <c r="D2188" s="1813" t="s">
        <v>861</v>
      </c>
      <c r="E2188" s="1904">
        <v>0</v>
      </c>
      <c r="F2188" s="1904">
        <f t="shared" si="465"/>
        <v>0</v>
      </c>
      <c r="G2188" s="1695" t="e">
        <f t="shared" si="462"/>
        <v>#DIV/0!</v>
      </c>
      <c r="H2188" s="1635">
        <f t="shared" si="459"/>
        <v>0</v>
      </c>
    </row>
    <row r="2189" spans="1:8" ht="15.75" customHeight="1" thickBot="1">
      <c r="A2189" s="1666"/>
      <c r="B2189" s="1734" t="s">
        <v>53</v>
      </c>
      <c r="C2189" s="1735"/>
      <c r="D2189" s="1736" t="s">
        <v>667</v>
      </c>
      <c r="E2189" s="1737">
        <f t="shared" ref="E2189:F2189" si="466">E2190</f>
        <v>1036400</v>
      </c>
      <c r="F2189" s="1737">
        <f t="shared" si="466"/>
        <v>1596000</v>
      </c>
      <c r="G2189" s="1738">
        <f t="shared" si="442"/>
        <v>1.5399459668081821</v>
      </c>
      <c r="H2189" s="1635">
        <f t="shared" si="459"/>
        <v>0</v>
      </c>
    </row>
    <row r="2190" spans="1:8" ht="15.75" customHeight="1">
      <c r="A2190" s="1666"/>
      <c r="B2190" s="1678"/>
      <c r="C2190" s="3472" t="s">
        <v>755</v>
      </c>
      <c r="D2190" s="3472"/>
      <c r="E2190" s="1672">
        <f>E2191+E2217</f>
        <v>1036400</v>
      </c>
      <c r="F2190" s="1672">
        <f t="shared" ref="F2190" si="467">F2191+F2217</f>
        <v>1596000</v>
      </c>
      <c r="G2190" s="1673">
        <f t="shared" si="442"/>
        <v>1.5399459668081821</v>
      </c>
      <c r="H2190" s="1635">
        <f t="shared" si="459"/>
        <v>0</v>
      </c>
    </row>
    <row r="2191" spans="1:8" ht="15.75" customHeight="1">
      <c r="A2191" s="1666"/>
      <c r="B2191" s="1678"/>
      <c r="C2191" s="3763" t="s">
        <v>756</v>
      </c>
      <c r="D2191" s="3763"/>
      <c r="E2191" s="1904">
        <f t="shared" ref="E2191:F2191" si="468">E2192+E2200</f>
        <v>1032737</v>
      </c>
      <c r="F2191" s="1904">
        <f t="shared" si="468"/>
        <v>1591867</v>
      </c>
      <c r="G2191" s="1905">
        <f t="shared" si="442"/>
        <v>1.5414059920386314</v>
      </c>
      <c r="H2191" s="1635">
        <f t="shared" si="459"/>
        <v>0</v>
      </c>
    </row>
    <row r="2192" spans="1:8" ht="15.75" customHeight="1">
      <c r="A2192" s="1666"/>
      <c r="B2192" s="1678"/>
      <c r="C2192" s="3771" t="s">
        <v>757</v>
      </c>
      <c r="D2192" s="3771"/>
      <c r="E2192" s="1906">
        <f>SUM(E2193:E2198)</f>
        <v>875040</v>
      </c>
      <c r="F2192" s="1906">
        <f>SUM(F2193:F2198)</f>
        <v>1309501</v>
      </c>
      <c r="G2192" s="1907">
        <f t="shared" si="442"/>
        <v>1.4965041598098372</v>
      </c>
      <c r="H2192" s="1635">
        <f t="shared" si="459"/>
        <v>0</v>
      </c>
    </row>
    <row r="2193" spans="1:11" ht="15.75" customHeight="1">
      <c r="A2193" s="1666"/>
      <c r="B2193" s="1678"/>
      <c r="C2193" s="2327" t="s">
        <v>758</v>
      </c>
      <c r="D2193" s="2328" t="s">
        <v>759</v>
      </c>
      <c r="E2193" s="1904">
        <v>636191</v>
      </c>
      <c r="F2193" s="1904">
        <f>H2193</f>
        <v>1005494</v>
      </c>
      <c r="G2193" s="1905">
        <f t="shared" si="442"/>
        <v>1.5804907645659874</v>
      </c>
      <c r="H2193" s="1635">
        <f t="shared" si="459"/>
        <v>1005494</v>
      </c>
      <c r="K2193" s="1636">
        <v>1005494</v>
      </c>
    </row>
    <row r="2194" spans="1:11" ht="15.75" customHeight="1">
      <c r="A2194" s="1666"/>
      <c r="B2194" s="1678"/>
      <c r="C2194" s="2327" t="s">
        <v>760</v>
      </c>
      <c r="D2194" s="2328" t="s">
        <v>761</v>
      </c>
      <c r="E2194" s="1904">
        <v>86509</v>
      </c>
      <c r="F2194" s="1904">
        <f t="shared" ref="F2194:F2198" si="469">H2194</f>
        <v>86963</v>
      </c>
      <c r="G2194" s="1905">
        <f t="shared" si="442"/>
        <v>1.0052480088776889</v>
      </c>
      <c r="H2194" s="1635">
        <f t="shared" si="459"/>
        <v>86963</v>
      </c>
      <c r="K2194" s="1636">
        <v>86963</v>
      </c>
    </row>
    <row r="2195" spans="1:11" ht="15.75" customHeight="1">
      <c r="A2195" s="1666"/>
      <c r="B2195" s="1678"/>
      <c r="C2195" s="2327" t="s">
        <v>762</v>
      </c>
      <c r="D2195" s="2328" t="s">
        <v>763</v>
      </c>
      <c r="E2195" s="1904">
        <v>118452</v>
      </c>
      <c r="F2195" s="1904">
        <f t="shared" si="469"/>
        <v>184831</v>
      </c>
      <c r="G2195" s="1905">
        <f t="shared" si="442"/>
        <v>1.5603873298889002</v>
      </c>
      <c r="H2195" s="1635">
        <f t="shared" si="459"/>
        <v>184831</v>
      </c>
      <c r="K2195" s="1636">
        <v>184831</v>
      </c>
    </row>
    <row r="2196" spans="1:11" ht="24.75" customHeight="1">
      <c r="A2196" s="1666"/>
      <c r="B2196" s="1678"/>
      <c r="C2196" s="2327" t="s">
        <v>764</v>
      </c>
      <c r="D2196" s="2328" t="s">
        <v>1440</v>
      </c>
      <c r="E2196" s="1904">
        <v>15212</v>
      </c>
      <c r="F2196" s="1904">
        <f t="shared" si="469"/>
        <v>26638</v>
      </c>
      <c r="G2196" s="1905">
        <f t="shared" si="442"/>
        <v>1.7511175387851696</v>
      </c>
      <c r="H2196" s="1635">
        <f t="shared" si="459"/>
        <v>26638</v>
      </c>
      <c r="K2196" s="1636">
        <v>26638</v>
      </c>
    </row>
    <row r="2197" spans="1:11" ht="15.75" hidden="1" customHeight="1">
      <c r="A2197" s="1666"/>
      <c r="B2197" s="1678"/>
      <c r="C2197" s="2343" t="s">
        <v>766</v>
      </c>
      <c r="D2197" s="1819" t="s">
        <v>767</v>
      </c>
      <c r="E2197" s="1749">
        <v>1000</v>
      </c>
      <c r="F2197" s="1904">
        <f t="shared" si="469"/>
        <v>0</v>
      </c>
      <c r="G2197" s="1905">
        <f t="shared" si="442"/>
        <v>0</v>
      </c>
      <c r="H2197" s="1635">
        <f t="shared" si="459"/>
        <v>0</v>
      </c>
      <c r="K2197" s="1636">
        <v>0</v>
      </c>
    </row>
    <row r="2198" spans="1:11" ht="15.75" customHeight="1">
      <c r="A2198" s="1666"/>
      <c r="B2198" s="1678"/>
      <c r="C2198" s="2606" t="s">
        <v>768</v>
      </c>
      <c r="D2198" s="2584" t="s">
        <v>769</v>
      </c>
      <c r="E2198" s="1904">
        <v>17676</v>
      </c>
      <c r="F2198" s="1904">
        <f t="shared" si="469"/>
        <v>5575</v>
      </c>
      <c r="G2198" s="1905">
        <f t="shared" si="442"/>
        <v>0.31539941163159085</v>
      </c>
      <c r="H2198" s="1635">
        <f t="shared" si="459"/>
        <v>5575</v>
      </c>
      <c r="K2198" s="1636">
        <v>5575</v>
      </c>
    </row>
    <row r="2199" spans="1:11" ht="15.75" customHeight="1">
      <c r="A2199" s="1666"/>
      <c r="B2199" s="1678"/>
      <c r="C2199" s="1699"/>
      <c r="D2199" s="1699"/>
      <c r="E2199" s="1683"/>
      <c r="F2199" s="1683"/>
      <c r="G2199" s="1684"/>
      <c r="H2199" s="1635">
        <f t="shared" si="459"/>
        <v>0</v>
      </c>
    </row>
    <row r="2200" spans="1:11" ht="15.75" customHeight="1">
      <c r="A2200" s="1666"/>
      <c r="B2200" s="1678"/>
      <c r="C2200" s="3752" t="s">
        <v>770</v>
      </c>
      <c r="D2200" s="3752"/>
      <c r="E2200" s="1906">
        <f>SUM(E2201:E2215)</f>
        <v>157697</v>
      </c>
      <c r="F2200" s="1906">
        <f t="shared" ref="F2200" si="470">SUM(F2201:F2215)</f>
        <v>282366</v>
      </c>
      <c r="G2200" s="1907">
        <f t="shared" si="442"/>
        <v>1.7905603784472754</v>
      </c>
      <c r="H2200" s="1635">
        <f t="shared" si="459"/>
        <v>0</v>
      </c>
    </row>
    <row r="2201" spans="1:11" ht="15.75" customHeight="1">
      <c r="A2201" s="1666"/>
      <c r="B2201" s="1678"/>
      <c r="C2201" s="2327" t="s">
        <v>771</v>
      </c>
      <c r="D2201" s="2328" t="s">
        <v>772</v>
      </c>
      <c r="E2201" s="1904">
        <v>3386</v>
      </c>
      <c r="F2201" s="1904">
        <f>H2201</f>
        <v>3113</v>
      </c>
      <c r="G2201" s="1905">
        <f t="shared" si="442"/>
        <v>0.9193738924985233</v>
      </c>
      <c r="H2201" s="1635">
        <f t="shared" si="459"/>
        <v>3113</v>
      </c>
      <c r="K2201" s="1636">
        <v>3113</v>
      </c>
    </row>
    <row r="2202" spans="1:11" ht="15.75" customHeight="1">
      <c r="A2202" s="1666"/>
      <c r="B2202" s="1678"/>
      <c r="C2202" s="2327" t="s">
        <v>773</v>
      </c>
      <c r="D2202" s="2328" t="s">
        <v>774</v>
      </c>
      <c r="E2202" s="1904">
        <v>23086</v>
      </c>
      <c r="F2202" s="1904">
        <f t="shared" ref="F2202:F2215" si="471">H2202</f>
        <v>80339</v>
      </c>
      <c r="G2202" s="1905">
        <f t="shared" si="442"/>
        <v>3.4799878714372348</v>
      </c>
      <c r="H2202" s="1635">
        <f t="shared" si="459"/>
        <v>80339</v>
      </c>
      <c r="K2202" s="1636">
        <v>80339</v>
      </c>
    </row>
    <row r="2203" spans="1:11" ht="15.75" customHeight="1">
      <c r="A2203" s="1666"/>
      <c r="B2203" s="1678"/>
      <c r="C2203" s="2327" t="s">
        <v>775</v>
      </c>
      <c r="D2203" s="2328" t="s">
        <v>776</v>
      </c>
      <c r="E2203" s="1904">
        <v>2500</v>
      </c>
      <c r="F2203" s="1904">
        <f t="shared" si="471"/>
        <v>4500</v>
      </c>
      <c r="G2203" s="1905">
        <f t="shared" si="442"/>
        <v>1.8</v>
      </c>
      <c r="H2203" s="1635">
        <f t="shared" si="459"/>
        <v>4500</v>
      </c>
      <c r="K2203" s="1636">
        <v>4500</v>
      </c>
    </row>
    <row r="2204" spans="1:11" ht="15.75" customHeight="1">
      <c r="A2204" s="1666"/>
      <c r="B2204" s="1678"/>
      <c r="C2204" s="2327" t="s">
        <v>983</v>
      </c>
      <c r="D2204" s="2328" t="s">
        <v>984</v>
      </c>
      <c r="E2204" s="1904">
        <v>0</v>
      </c>
      <c r="F2204" s="1904">
        <f t="shared" si="471"/>
        <v>4240</v>
      </c>
      <c r="G2204" s="1905"/>
      <c r="H2204" s="1635">
        <f t="shared" si="459"/>
        <v>4240</v>
      </c>
      <c r="K2204" s="1636">
        <v>4240</v>
      </c>
    </row>
    <row r="2205" spans="1:11" ht="15.75" customHeight="1">
      <c r="A2205" s="1666"/>
      <c r="B2205" s="1678"/>
      <c r="C2205" s="2327" t="s">
        <v>777</v>
      </c>
      <c r="D2205" s="2328" t="s">
        <v>778</v>
      </c>
      <c r="E2205" s="1904">
        <v>20050</v>
      </c>
      <c r="F2205" s="1904">
        <f t="shared" si="471"/>
        <v>24040</v>
      </c>
      <c r="G2205" s="1905">
        <f t="shared" si="442"/>
        <v>1.1990024937655861</v>
      </c>
      <c r="H2205" s="1635">
        <f t="shared" ref="H2205:H2272" si="472">SUM(I2205:AE2205)</f>
        <v>24040</v>
      </c>
      <c r="K2205" s="1636">
        <v>24040</v>
      </c>
    </row>
    <row r="2206" spans="1:11" ht="15.75" customHeight="1">
      <c r="A2206" s="1666"/>
      <c r="B2206" s="1678"/>
      <c r="C2206" s="2327" t="s">
        <v>779</v>
      </c>
      <c r="D2206" s="2328" t="s">
        <v>780</v>
      </c>
      <c r="E2206" s="1904">
        <v>7168</v>
      </c>
      <c r="F2206" s="1904">
        <f t="shared" si="471"/>
        <v>9061</v>
      </c>
      <c r="G2206" s="1905">
        <f t="shared" si="442"/>
        <v>1.2640904017857142</v>
      </c>
      <c r="H2206" s="1635">
        <f t="shared" si="472"/>
        <v>9061</v>
      </c>
      <c r="K2206" s="1636">
        <v>9061</v>
      </c>
    </row>
    <row r="2207" spans="1:11" ht="15.75" customHeight="1">
      <c r="A2207" s="1666"/>
      <c r="B2207" s="1678"/>
      <c r="C2207" s="2327" t="s">
        <v>781</v>
      </c>
      <c r="D2207" s="2328" t="s">
        <v>782</v>
      </c>
      <c r="E2207" s="1904">
        <v>1050</v>
      </c>
      <c r="F2207" s="1904">
        <f t="shared" si="471"/>
        <v>2110</v>
      </c>
      <c r="G2207" s="1905">
        <f t="shared" si="442"/>
        <v>2.0095238095238095</v>
      </c>
      <c r="H2207" s="1635">
        <f t="shared" si="472"/>
        <v>2110</v>
      </c>
      <c r="K2207" s="1636">
        <v>2110</v>
      </c>
    </row>
    <row r="2208" spans="1:11" ht="15.75" customHeight="1">
      <c r="A2208" s="1666"/>
      <c r="B2208" s="1678"/>
      <c r="C2208" s="2327" t="s">
        <v>783</v>
      </c>
      <c r="D2208" s="2328" t="s">
        <v>784</v>
      </c>
      <c r="E2208" s="1904">
        <v>54054</v>
      </c>
      <c r="F2208" s="1904">
        <f t="shared" si="471"/>
        <v>75957</v>
      </c>
      <c r="G2208" s="1905">
        <f t="shared" si="442"/>
        <v>1.4052059052059052</v>
      </c>
      <c r="H2208" s="1635">
        <f t="shared" si="472"/>
        <v>75957</v>
      </c>
      <c r="K2208" s="1636">
        <v>75957</v>
      </c>
    </row>
    <row r="2209" spans="1:11" ht="15.75" customHeight="1">
      <c r="A2209" s="1666"/>
      <c r="B2209" s="3519"/>
      <c r="C2209" s="2327" t="s">
        <v>785</v>
      </c>
      <c r="D2209" s="2328" t="s">
        <v>985</v>
      </c>
      <c r="E2209" s="1904">
        <v>4481</v>
      </c>
      <c r="F2209" s="1904">
        <f t="shared" si="471"/>
        <v>4601</v>
      </c>
      <c r="G2209" s="1905">
        <f t="shared" si="442"/>
        <v>1.0267797366659228</v>
      </c>
      <c r="H2209" s="1635">
        <f t="shared" si="472"/>
        <v>4601</v>
      </c>
      <c r="K2209" s="1636">
        <v>4601</v>
      </c>
    </row>
    <row r="2210" spans="1:11" ht="15.75" customHeight="1">
      <c r="A2210" s="1666"/>
      <c r="B2210" s="3519"/>
      <c r="C2210" s="2489" t="s">
        <v>791</v>
      </c>
      <c r="D2210" s="2490" t="s">
        <v>792</v>
      </c>
      <c r="E2210" s="1904">
        <v>4000</v>
      </c>
      <c r="F2210" s="1904">
        <f t="shared" si="471"/>
        <v>6804</v>
      </c>
      <c r="G2210" s="1905">
        <f t="shared" si="442"/>
        <v>1.7010000000000001</v>
      </c>
      <c r="H2210" s="1635">
        <f t="shared" si="472"/>
        <v>6804</v>
      </c>
      <c r="K2210" s="1636">
        <v>6804</v>
      </c>
    </row>
    <row r="2211" spans="1:11" ht="15.75" customHeight="1">
      <c r="A2211" s="1666"/>
      <c r="B2211" s="3519"/>
      <c r="C2211" s="2351" t="s">
        <v>793</v>
      </c>
      <c r="D2211" s="2607" t="s">
        <v>794</v>
      </c>
      <c r="E2211" s="1904">
        <v>0</v>
      </c>
      <c r="F2211" s="1904">
        <f t="shared" si="471"/>
        <v>3319</v>
      </c>
      <c r="G2211" s="1905"/>
      <c r="H2211" s="1635">
        <f t="shared" si="472"/>
        <v>3319</v>
      </c>
      <c r="K2211" s="1636">
        <v>3319</v>
      </c>
    </row>
    <row r="2212" spans="1:11" ht="15.75" customHeight="1">
      <c r="A2212" s="1666"/>
      <c r="B2212" s="3519"/>
      <c r="C2212" s="2608" t="s">
        <v>795</v>
      </c>
      <c r="D2212" s="2584" t="s">
        <v>796</v>
      </c>
      <c r="E2212" s="1904">
        <v>27748</v>
      </c>
      <c r="F2212" s="1904">
        <f t="shared" si="471"/>
        <v>31597</v>
      </c>
      <c r="G2212" s="1905">
        <f t="shared" si="442"/>
        <v>1.1387127000144155</v>
      </c>
      <c r="H2212" s="1635">
        <f t="shared" si="472"/>
        <v>31597</v>
      </c>
      <c r="K2212" s="1636">
        <v>31597</v>
      </c>
    </row>
    <row r="2213" spans="1:11" ht="15.75" customHeight="1">
      <c r="A2213" s="1666"/>
      <c r="B2213" s="3519"/>
      <c r="C2213" s="2608" t="s">
        <v>797</v>
      </c>
      <c r="D2213" s="2584" t="s">
        <v>798</v>
      </c>
      <c r="E2213" s="1904">
        <v>3655</v>
      </c>
      <c r="F2213" s="1904">
        <f t="shared" si="471"/>
        <v>4234</v>
      </c>
      <c r="G2213" s="1905">
        <f t="shared" si="442"/>
        <v>1.1584131326949385</v>
      </c>
      <c r="H2213" s="1635">
        <f t="shared" si="472"/>
        <v>4234</v>
      </c>
      <c r="K2213" s="1636">
        <v>4234</v>
      </c>
    </row>
    <row r="2214" spans="1:11" ht="15.75" customHeight="1">
      <c r="A2214" s="1666"/>
      <c r="B2214" s="3519"/>
      <c r="C2214" s="2575" t="s">
        <v>801</v>
      </c>
      <c r="D2214" s="2584" t="s">
        <v>1200</v>
      </c>
      <c r="E2214" s="1904">
        <v>3519</v>
      </c>
      <c r="F2214" s="1904">
        <f t="shared" si="471"/>
        <v>3851</v>
      </c>
      <c r="G2214" s="1905">
        <f t="shared" si="442"/>
        <v>1.0943449843705597</v>
      </c>
      <c r="H2214" s="1635">
        <f t="shared" si="472"/>
        <v>3851</v>
      </c>
      <c r="K2214" s="1636">
        <v>3851</v>
      </c>
    </row>
    <row r="2215" spans="1:11" ht="16.5" customHeight="1">
      <c r="A2215" s="1666"/>
      <c r="B2215" s="3519"/>
      <c r="C2215" s="2575" t="s">
        <v>805</v>
      </c>
      <c r="D2215" s="2584" t="s">
        <v>1037</v>
      </c>
      <c r="E2215" s="1904">
        <v>3000</v>
      </c>
      <c r="F2215" s="1904">
        <f t="shared" si="471"/>
        <v>24600</v>
      </c>
      <c r="G2215" s="1905">
        <f t="shared" si="442"/>
        <v>8.1999999999999993</v>
      </c>
      <c r="H2215" s="1635">
        <f t="shared" si="472"/>
        <v>24600</v>
      </c>
      <c r="K2215" s="1636">
        <v>24600</v>
      </c>
    </row>
    <row r="2216" spans="1:11" ht="15.75" customHeight="1">
      <c r="A2216" s="1666"/>
      <c r="B2216" s="3519"/>
      <c r="C2216" s="1699"/>
      <c r="D2216" s="1699"/>
      <c r="E2216" s="1683"/>
      <c r="F2216" s="1683"/>
      <c r="G2216" s="1684"/>
      <c r="H2216" s="1635">
        <f t="shared" si="472"/>
        <v>0</v>
      </c>
    </row>
    <row r="2217" spans="1:11" ht="15.75" customHeight="1">
      <c r="A2217" s="1666"/>
      <c r="B2217" s="3519"/>
      <c r="C2217" s="3745" t="s">
        <v>807</v>
      </c>
      <c r="D2217" s="3745"/>
      <c r="E2217" s="1904">
        <f t="shared" ref="E2217:F2217" si="473">E2218</f>
        <v>3663</v>
      </c>
      <c r="F2217" s="1904">
        <f t="shared" si="473"/>
        <v>4133</v>
      </c>
      <c r="G2217" s="1905">
        <f t="shared" si="442"/>
        <v>1.1283101283101282</v>
      </c>
      <c r="H2217" s="1635">
        <f t="shared" si="472"/>
        <v>0</v>
      </c>
    </row>
    <row r="2218" spans="1:11" ht="15.75" customHeight="1" thickBot="1">
      <c r="A2218" s="1666"/>
      <c r="B2218" s="3519"/>
      <c r="C2218" s="2489" t="s">
        <v>808</v>
      </c>
      <c r="D2218" s="2490" t="s">
        <v>809</v>
      </c>
      <c r="E2218" s="2323">
        <v>3663</v>
      </c>
      <c r="F2218" s="2323">
        <f>H2218</f>
        <v>4133</v>
      </c>
      <c r="G2218" s="2324">
        <f t="shared" si="442"/>
        <v>1.1283101283101282</v>
      </c>
      <c r="H2218" s="1635">
        <f t="shared" si="472"/>
        <v>4133</v>
      </c>
      <c r="K2218" s="1636">
        <v>4133</v>
      </c>
    </row>
    <row r="2219" spans="1:11" ht="15.75" customHeight="1" thickBot="1">
      <c r="A2219" s="1666"/>
      <c r="B2219" s="1734" t="s">
        <v>111</v>
      </c>
      <c r="C2219" s="1735"/>
      <c r="D2219" s="1736" t="s">
        <v>281</v>
      </c>
      <c r="E2219" s="1737">
        <f>E2220</f>
        <v>3425718</v>
      </c>
      <c r="F2219" s="1737">
        <f t="shared" ref="F2219" si="474">F2220</f>
        <v>4391833</v>
      </c>
      <c r="G2219" s="1738">
        <f t="shared" si="442"/>
        <v>1.2820182513563581</v>
      </c>
      <c r="H2219" s="1635">
        <f t="shared" si="472"/>
        <v>0</v>
      </c>
    </row>
    <row r="2220" spans="1:11" ht="15.75" customHeight="1">
      <c r="A2220" s="1666"/>
      <c r="B2220" s="1683"/>
      <c r="C2220" s="3472" t="s">
        <v>755</v>
      </c>
      <c r="D2220" s="3472"/>
      <c r="E2220" s="1672">
        <f>SUM(E2225,E2221)</f>
        <v>3425718</v>
      </c>
      <c r="F2220" s="1672">
        <f t="shared" ref="F2220" si="475">SUM(F2225,F2221)</f>
        <v>4391833</v>
      </c>
      <c r="G2220" s="1673">
        <f t="shared" si="442"/>
        <v>1.2820182513563581</v>
      </c>
      <c r="H2220" s="1635">
        <f t="shared" si="472"/>
        <v>0</v>
      </c>
    </row>
    <row r="2221" spans="1:11" ht="15.75" customHeight="1">
      <c r="A2221" s="1666"/>
      <c r="B2221" s="1683"/>
      <c r="C2221" s="3763" t="s">
        <v>756</v>
      </c>
      <c r="D2221" s="3763"/>
      <c r="E2221" s="1904">
        <f t="shared" ref="E2221:F2221" si="476">E2222</f>
        <v>1040</v>
      </c>
      <c r="F2221" s="1904">
        <f t="shared" si="476"/>
        <v>1071</v>
      </c>
      <c r="G2221" s="1905">
        <f t="shared" si="442"/>
        <v>1.0298076923076922</v>
      </c>
      <c r="H2221" s="1635">
        <f t="shared" si="472"/>
        <v>0</v>
      </c>
    </row>
    <row r="2222" spans="1:11" ht="15.75" customHeight="1">
      <c r="A2222" s="1666"/>
      <c r="B2222" s="1683"/>
      <c r="C2222" s="3752" t="s">
        <v>770</v>
      </c>
      <c r="D2222" s="3752"/>
      <c r="E2222" s="1906">
        <f>SUM(E2223:E2223)</f>
        <v>1040</v>
      </c>
      <c r="F2222" s="1906">
        <f t="shared" ref="F2222" si="477">SUM(F2223:F2223)</f>
        <v>1071</v>
      </c>
      <c r="G2222" s="1907">
        <f t="shared" ref="G2222:G2334" si="478">F2222/E2222</f>
        <v>1.0298076923076922</v>
      </c>
      <c r="H2222" s="1635">
        <f t="shared" si="472"/>
        <v>0</v>
      </c>
    </row>
    <row r="2223" spans="1:11" ht="15.75" customHeight="1">
      <c r="A2223" s="1666"/>
      <c r="B2223" s="1683"/>
      <c r="C2223" s="2327" t="s">
        <v>773</v>
      </c>
      <c r="D2223" s="2328" t="s">
        <v>774</v>
      </c>
      <c r="E2223" s="1904">
        <v>1040</v>
      </c>
      <c r="F2223" s="1904">
        <f>H2223</f>
        <v>1071</v>
      </c>
      <c r="G2223" s="1905">
        <f t="shared" si="478"/>
        <v>1.0298076923076922</v>
      </c>
      <c r="H2223" s="1635">
        <f t="shared" si="472"/>
        <v>1071</v>
      </c>
      <c r="K2223" s="1636">
        <v>1071</v>
      </c>
    </row>
    <row r="2224" spans="1:11" ht="13.5" thickBot="1">
      <c r="A2224" s="1792"/>
      <c r="B2224" s="2766"/>
      <c r="C2224" s="3789"/>
      <c r="D2224" s="3790"/>
      <c r="E2224" s="1694"/>
      <c r="F2224" s="1694"/>
      <c r="G2224" s="1905"/>
      <c r="H2224" s="1635">
        <f t="shared" si="472"/>
        <v>0</v>
      </c>
    </row>
    <row r="2225" spans="1:11" ht="16.5" customHeight="1">
      <c r="A2225" s="1666"/>
      <c r="B2225" s="1683"/>
      <c r="C2225" s="3791" t="s">
        <v>857</v>
      </c>
      <c r="D2225" s="3792"/>
      <c r="E2225" s="3078">
        <f>SUM(E2226:E2228)</f>
        <v>3424678</v>
      </c>
      <c r="F2225" s="3078">
        <f t="shared" ref="F2225" si="479">SUM(F2226:F2228)</f>
        <v>4390762</v>
      </c>
      <c r="G2225" s="1905">
        <f t="shared" si="478"/>
        <v>1.2820948422012231</v>
      </c>
      <c r="H2225" s="1635">
        <f t="shared" si="472"/>
        <v>0</v>
      </c>
    </row>
    <row r="2226" spans="1:11" ht="51.75" thickBot="1">
      <c r="A2226" s="1666"/>
      <c r="B2226" s="1683"/>
      <c r="C2226" s="1702" t="s">
        <v>409</v>
      </c>
      <c r="D2226" s="1703" t="s">
        <v>876</v>
      </c>
      <c r="E2226" s="1749">
        <v>3424351</v>
      </c>
      <c r="F2226" s="1749">
        <f>H2226</f>
        <v>4390762</v>
      </c>
      <c r="G2226" s="1750">
        <f t="shared" si="478"/>
        <v>1.2822172727036452</v>
      </c>
      <c r="H2226" s="1635">
        <f t="shared" si="472"/>
        <v>4390762</v>
      </c>
      <c r="K2226" s="1636">
        <v>4390762</v>
      </c>
    </row>
    <row r="2227" spans="1:11" ht="53.25" hidden="1" customHeight="1" thickBot="1">
      <c r="A2227" s="1666"/>
      <c r="B2227" s="1678"/>
      <c r="C2227" s="2609" t="s">
        <v>359</v>
      </c>
      <c r="D2227" s="2610" t="s">
        <v>379</v>
      </c>
      <c r="E2227" s="2323">
        <v>327</v>
      </c>
      <c r="F2227" s="1749">
        <f t="shared" ref="F2227:F2228" si="480">H2227</f>
        <v>0</v>
      </c>
      <c r="G2227" s="2324">
        <f t="shared" si="478"/>
        <v>0</v>
      </c>
      <c r="H2227" s="1635">
        <f t="shared" si="472"/>
        <v>0</v>
      </c>
    </row>
    <row r="2228" spans="1:11" ht="17.25" hidden="1" customHeight="1" thickBot="1">
      <c r="A2228" s="1666"/>
      <c r="B2228" s="1678"/>
      <c r="C2228" s="2609" t="s">
        <v>396</v>
      </c>
      <c r="D2228" s="2610" t="s">
        <v>917</v>
      </c>
      <c r="E2228" s="2611">
        <v>0</v>
      </c>
      <c r="F2228" s="1749">
        <f t="shared" si="480"/>
        <v>0</v>
      </c>
      <c r="G2228" s="2324" t="e">
        <f t="shared" si="478"/>
        <v>#DIV/0!</v>
      </c>
      <c r="H2228" s="1635">
        <f t="shared" si="472"/>
        <v>0</v>
      </c>
    </row>
    <row r="2229" spans="1:11" ht="17.100000000000001" customHeight="1" thickBot="1">
      <c r="A2229" s="2612" t="s">
        <v>113</v>
      </c>
      <c r="B2229" s="2613"/>
      <c r="C2229" s="2614"/>
      <c r="D2229" s="2615" t="s">
        <v>1213</v>
      </c>
      <c r="E2229" s="2616">
        <f>E2241+E2265+E2280+E2291+E2312+E2237+E2257+E2261+E2251+E2230+E2302</f>
        <v>3523539</v>
      </c>
      <c r="F2229" s="2617">
        <f>F2241+F2265+F2280+F2291+F2312+F2237+F2261+F2251+F2230+F2302</f>
        <v>849123</v>
      </c>
      <c r="G2229" s="2618">
        <f t="shared" si="478"/>
        <v>0.24098583838578203</v>
      </c>
      <c r="H2229" s="1635">
        <f t="shared" si="472"/>
        <v>0</v>
      </c>
    </row>
    <row r="2230" spans="1:11" ht="17.100000000000001" hidden="1" customHeight="1" thickBot="1">
      <c r="A2230" s="1666"/>
      <c r="B2230" s="1734" t="s">
        <v>1214</v>
      </c>
      <c r="C2230" s="1735"/>
      <c r="D2230" s="1736" t="s">
        <v>1215</v>
      </c>
      <c r="E2230" s="2564">
        <f>E2231</f>
        <v>0</v>
      </c>
      <c r="F2230" s="1737">
        <f t="shared" ref="F2230" si="481">F2231</f>
        <v>0</v>
      </c>
      <c r="G2230" s="2205"/>
      <c r="H2230" s="1635">
        <f t="shared" si="472"/>
        <v>0</v>
      </c>
    </row>
    <row r="2231" spans="1:11" ht="17.100000000000001" hidden="1" customHeight="1">
      <c r="A2231" s="1666"/>
      <c r="B2231" s="1678"/>
      <c r="C2231" s="3662" t="s">
        <v>755</v>
      </c>
      <c r="D2231" s="3487"/>
      <c r="E2231" s="2558">
        <f>E2232+E2248</f>
        <v>0</v>
      </c>
      <c r="F2231" s="2558">
        <f>F2232+F2248</f>
        <v>0</v>
      </c>
      <c r="G2231" s="1816"/>
      <c r="H2231" s="1635">
        <f t="shared" si="472"/>
        <v>0</v>
      </c>
    </row>
    <row r="2232" spans="1:11" ht="17.100000000000001" hidden="1" customHeight="1">
      <c r="A2232" s="1666"/>
      <c r="B2232" s="1678"/>
      <c r="C2232" s="3763" t="s">
        <v>756</v>
      </c>
      <c r="D2232" s="3763"/>
      <c r="E2232" s="2619">
        <f>E2233</f>
        <v>0</v>
      </c>
      <c r="F2232" s="2619">
        <f>F2233</f>
        <v>0</v>
      </c>
      <c r="G2232" s="1905"/>
      <c r="H2232" s="1635">
        <f t="shared" si="472"/>
        <v>0</v>
      </c>
    </row>
    <row r="2233" spans="1:11" ht="17.100000000000001" hidden="1" customHeight="1">
      <c r="A2233" s="1666"/>
      <c r="B2233" s="1678"/>
      <c r="C2233" s="3771" t="s">
        <v>757</v>
      </c>
      <c r="D2233" s="3771"/>
      <c r="E2233" s="2619">
        <f>SUM(E2234:E2236)</f>
        <v>0</v>
      </c>
      <c r="F2233" s="2619">
        <f>SUM(F2234:F2236)</f>
        <v>0</v>
      </c>
      <c r="G2233" s="1905"/>
      <c r="H2233" s="1635">
        <f t="shared" si="472"/>
        <v>0</v>
      </c>
    </row>
    <row r="2234" spans="1:11" ht="17.100000000000001" hidden="1" customHeight="1">
      <c r="A2234" s="1666"/>
      <c r="B2234" s="1678"/>
      <c r="C2234" s="2327" t="s">
        <v>758</v>
      </c>
      <c r="D2234" s="2328" t="s">
        <v>759</v>
      </c>
      <c r="E2234" s="2619">
        <v>0</v>
      </c>
      <c r="F2234" s="1904">
        <f>H2234</f>
        <v>0</v>
      </c>
      <c r="G2234" s="2620"/>
      <c r="H2234" s="1635">
        <f t="shared" si="472"/>
        <v>0</v>
      </c>
    </row>
    <row r="2235" spans="1:11" ht="17.100000000000001" hidden="1" customHeight="1">
      <c r="A2235" s="1666"/>
      <c r="B2235" s="1678"/>
      <c r="C2235" s="2327" t="s">
        <v>762</v>
      </c>
      <c r="D2235" s="2328" t="s">
        <v>763</v>
      </c>
      <c r="E2235" s="2619">
        <v>0</v>
      </c>
      <c r="F2235" s="1904">
        <f t="shared" ref="F2235:F2236" si="482">H2235</f>
        <v>0</v>
      </c>
      <c r="G2235" s="2620"/>
      <c r="H2235" s="1635">
        <f t="shared" si="472"/>
        <v>0</v>
      </c>
    </row>
    <row r="2236" spans="1:11" ht="17.100000000000001" hidden="1" customHeight="1" thickBot="1">
      <c r="A2236" s="1666"/>
      <c r="B2236" s="1678"/>
      <c r="C2236" s="2327" t="s">
        <v>764</v>
      </c>
      <c r="D2236" s="2328" t="s">
        <v>816</v>
      </c>
      <c r="E2236" s="2619">
        <v>0</v>
      </c>
      <c r="F2236" s="1904">
        <f t="shared" si="482"/>
        <v>0</v>
      </c>
      <c r="G2236" s="2620"/>
      <c r="H2236" s="1635">
        <f t="shared" si="472"/>
        <v>0</v>
      </c>
    </row>
    <row r="2237" spans="1:11" ht="17.100000000000001" hidden="1" customHeight="1" thickBot="1">
      <c r="A2237" s="2014"/>
      <c r="B2237" s="1734" t="s">
        <v>1216</v>
      </c>
      <c r="C2237" s="1735"/>
      <c r="D2237" s="1736" t="s">
        <v>1217</v>
      </c>
      <c r="E2237" s="2218">
        <f>E2238</f>
        <v>0</v>
      </c>
      <c r="F2237" s="2218">
        <f t="shared" ref="F2237:F2239" si="483">F2238</f>
        <v>0</v>
      </c>
      <c r="G2237" s="2219" t="e">
        <f t="shared" si="478"/>
        <v>#DIV/0!</v>
      </c>
      <c r="H2237" s="1635">
        <f t="shared" si="472"/>
        <v>0</v>
      </c>
    </row>
    <row r="2238" spans="1:11" ht="17.100000000000001" hidden="1" customHeight="1">
      <c r="A2238" s="2014"/>
      <c r="B2238" s="3786"/>
      <c r="C2238" s="3472" t="s">
        <v>755</v>
      </c>
      <c r="D2238" s="3472"/>
      <c r="E2238" s="2220">
        <f>E2239</f>
        <v>0</v>
      </c>
      <c r="F2238" s="2220">
        <f t="shared" si="483"/>
        <v>0</v>
      </c>
      <c r="G2238" s="2221" t="e">
        <f t="shared" si="478"/>
        <v>#DIV/0!</v>
      </c>
      <c r="H2238" s="1635">
        <f t="shared" si="472"/>
        <v>0</v>
      </c>
    </row>
    <row r="2239" spans="1:11" ht="17.100000000000001" hidden="1" customHeight="1">
      <c r="A2239" s="2014"/>
      <c r="B2239" s="3787"/>
      <c r="C2239" s="3760" t="s">
        <v>857</v>
      </c>
      <c r="D2239" s="3760"/>
      <c r="E2239" s="2621">
        <f>E2240</f>
        <v>0</v>
      </c>
      <c r="F2239" s="2621">
        <f t="shared" si="483"/>
        <v>0</v>
      </c>
      <c r="G2239" s="2622" t="e">
        <f t="shared" si="478"/>
        <v>#DIV/0!</v>
      </c>
      <c r="H2239" s="1635">
        <f t="shared" si="472"/>
        <v>0</v>
      </c>
    </row>
    <row r="2240" spans="1:11" ht="27" hidden="1" customHeight="1" thickBot="1">
      <c r="A2240" s="2014"/>
      <c r="B2240" s="3788"/>
      <c r="C2240" s="2327" t="s">
        <v>394</v>
      </c>
      <c r="D2240" s="2328" t="s">
        <v>978</v>
      </c>
      <c r="E2240" s="2623">
        <v>0</v>
      </c>
      <c r="F2240" s="2623">
        <f>H2240</f>
        <v>0</v>
      </c>
      <c r="G2240" s="2624" t="e">
        <f t="shared" si="478"/>
        <v>#DIV/0!</v>
      </c>
      <c r="H2240" s="1635">
        <f t="shared" si="472"/>
        <v>0</v>
      </c>
    </row>
    <row r="2241" spans="1:17" ht="17.100000000000001" customHeight="1" thickBot="1">
      <c r="A2241" s="2021"/>
      <c r="B2241" s="1734" t="s">
        <v>114</v>
      </c>
      <c r="C2241" s="1735"/>
      <c r="D2241" s="1736" t="s">
        <v>1218</v>
      </c>
      <c r="E2241" s="2218">
        <f t="shared" ref="E2241:F2241" si="484">SUM(E2242)</f>
        <v>173386</v>
      </c>
      <c r="F2241" s="2218">
        <f t="shared" si="484"/>
        <v>204623</v>
      </c>
      <c r="G2241" s="2219">
        <f t="shared" si="478"/>
        <v>1.1801587210040025</v>
      </c>
      <c r="H2241" s="1635">
        <f t="shared" si="472"/>
        <v>0</v>
      </c>
    </row>
    <row r="2242" spans="1:17" ht="17.100000000000001" customHeight="1">
      <c r="A2242" s="1666"/>
      <c r="B2242" s="3467"/>
      <c r="C2242" s="3472" t="s">
        <v>755</v>
      </c>
      <c r="D2242" s="3472"/>
      <c r="E2242" s="2220">
        <f>E2243+E2249</f>
        <v>173386</v>
      </c>
      <c r="F2242" s="2220">
        <f t="shared" ref="F2242" si="485">F2243+F2249</f>
        <v>204623</v>
      </c>
      <c r="G2242" s="2221">
        <f t="shared" si="478"/>
        <v>1.1801587210040025</v>
      </c>
      <c r="H2242" s="1635">
        <f t="shared" si="472"/>
        <v>0</v>
      </c>
    </row>
    <row r="2243" spans="1:17" ht="17.100000000000001" customHeight="1">
      <c r="A2243" s="1666"/>
      <c r="B2243" s="3467"/>
      <c r="C2243" s="3763" t="s">
        <v>756</v>
      </c>
      <c r="D2243" s="3763"/>
      <c r="E2243" s="2625">
        <f t="shared" ref="E2243:F2243" si="486">E2244</f>
        <v>166386</v>
      </c>
      <c r="F2243" s="2625">
        <f t="shared" si="486"/>
        <v>197623</v>
      </c>
      <c r="G2243" s="2626">
        <f t="shared" si="478"/>
        <v>1.187738151046362</v>
      </c>
      <c r="H2243" s="1635">
        <f t="shared" si="472"/>
        <v>0</v>
      </c>
    </row>
    <row r="2244" spans="1:17" ht="17.100000000000001" customHeight="1">
      <c r="A2244" s="1666"/>
      <c r="B2244" s="3467"/>
      <c r="C2244" s="3752" t="s">
        <v>770</v>
      </c>
      <c r="D2244" s="3752"/>
      <c r="E2244" s="2627">
        <f>SUM(E2245:E2247)</f>
        <v>166386</v>
      </c>
      <c r="F2244" s="2627">
        <f>SUM(F2245:F2247)</f>
        <v>197623</v>
      </c>
      <c r="G2244" s="2628">
        <f t="shared" si="478"/>
        <v>1.187738151046362</v>
      </c>
      <c r="H2244" s="1635">
        <f t="shared" si="472"/>
        <v>0</v>
      </c>
    </row>
    <row r="2245" spans="1:17" ht="17.100000000000001" customHeight="1">
      <c r="A2245" s="1666"/>
      <c r="B2245" s="3467"/>
      <c r="C2245" s="2506" t="s">
        <v>773</v>
      </c>
      <c r="D2245" s="2496" t="s">
        <v>774</v>
      </c>
      <c r="E2245" s="2625">
        <v>12000</v>
      </c>
      <c r="F2245" s="2625">
        <f>H2245</f>
        <v>15000</v>
      </c>
      <c r="G2245" s="2628">
        <f t="shared" si="478"/>
        <v>1.25</v>
      </c>
      <c r="H2245" s="1635">
        <f t="shared" si="472"/>
        <v>15000</v>
      </c>
      <c r="Q2245" s="1636">
        <v>15000</v>
      </c>
    </row>
    <row r="2246" spans="1:17" ht="17.100000000000001" customHeight="1">
      <c r="A2246" s="1666"/>
      <c r="B2246" s="3467"/>
      <c r="C2246" s="2327" t="s">
        <v>783</v>
      </c>
      <c r="D2246" s="2328" t="s">
        <v>784</v>
      </c>
      <c r="E2246" s="2625">
        <v>154386</v>
      </c>
      <c r="F2246" s="2625">
        <f t="shared" ref="F2246:F2247" si="487">H2246</f>
        <v>163623</v>
      </c>
      <c r="G2246" s="2626">
        <f t="shared" si="478"/>
        <v>1.0598305545839648</v>
      </c>
      <c r="H2246" s="1635">
        <f t="shared" si="472"/>
        <v>163623</v>
      </c>
      <c r="Q2246" s="1636">
        <v>163623</v>
      </c>
    </row>
    <row r="2247" spans="1:17" ht="17.100000000000001" customHeight="1">
      <c r="A2247" s="1666"/>
      <c r="B2247" s="1698"/>
      <c r="C2247" s="2506" t="s">
        <v>787</v>
      </c>
      <c r="D2247" s="2496" t="s">
        <v>788</v>
      </c>
      <c r="E2247" s="2625">
        <v>0</v>
      </c>
      <c r="F2247" s="2625">
        <f t="shared" si="487"/>
        <v>19000</v>
      </c>
      <c r="G2247" s="2626"/>
      <c r="H2247" s="1635">
        <f t="shared" si="472"/>
        <v>19000</v>
      </c>
      <c r="Q2247" s="1636">
        <v>19000</v>
      </c>
    </row>
    <row r="2248" spans="1:17" ht="17.100000000000001" customHeight="1">
      <c r="A2248" s="1666"/>
      <c r="B2248" s="1698"/>
      <c r="C2248" s="2495"/>
      <c r="D2248" s="2496"/>
      <c r="E2248" s="2625"/>
      <c r="F2248" s="2625"/>
      <c r="G2248" s="2626"/>
      <c r="H2248" s="1635">
        <f t="shared" si="472"/>
        <v>0</v>
      </c>
    </row>
    <row r="2249" spans="1:17" ht="17.100000000000001" customHeight="1">
      <c r="A2249" s="1666"/>
      <c r="B2249" s="1698"/>
      <c r="C2249" s="3760" t="s">
        <v>857</v>
      </c>
      <c r="D2249" s="3760"/>
      <c r="E2249" s="2621">
        <f>E2250</f>
        <v>7000</v>
      </c>
      <c r="F2249" s="2621">
        <f t="shared" ref="F2249" si="488">F2250</f>
        <v>7000</v>
      </c>
      <c r="G2249" s="2622">
        <f t="shared" si="478"/>
        <v>1</v>
      </c>
      <c r="H2249" s="1635">
        <f t="shared" si="472"/>
        <v>0</v>
      </c>
    </row>
    <row r="2250" spans="1:17" ht="53.25" customHeight="1" thickBot="1">
      <c r="A2250" s="1666"/>
      <c r="B2250" s="1698"/>
      <c r="C2250" s="2203" t="s">
        <v>409</v>
      </c>
      <c r="D2250" s="2629" t="s">
        <v>876</v>
      </c>
      <c r="E2250" s="2625">
        <v>7000</v>
      </c>
      <c r="F2250" s="2625">
        <f>H2250</f>
        <v>7000</v>
      </c>
      <c r="G2250" s="2626">
        <f t="shared" si="478"/>
        <v>1</v>
      </c>
      <c r="H2250" s="1635">
        <f t="shared" si="472"/>
        <v>7000</v>
      </c>
      <c r="Q2250" s="1636">
        <v>7000</v>
      </c>
    </row>
    <row r="2251" spans="1:17" ht="17.100000000000001" customHeight="1" thickBot="1">
      <c r="A2251" s="2021"/>
      <c r="B2251" s="1734" t="s">
        <v>1219</v>
      </c>
      <c r="C2251" s="1735"/>
      <c r="D2251" s="1736" t="s">
        <v>1220</v>
      </c>
      <c r="E2251" s="2218">
        <f t="shared" ref="E2251:F2253" si="489">E2252</f>
        <v>0</v>
      </c>
      <c r="F2251" s="2218">
        <f t="shared" si="489"/>
        <v>5000</v>
      </c>
      <c r="G2251" s="2219"/>
      <c r="H2251" s="1635">
        <f t="shared" si="472"/>
        <v>0</v>
      </c>
    </row>
    <row r="2252" spans="1:17" ht="17.25" customHeight="1">
      <c r="A2252" s="1666"/>
      <c r="B2252" s="1698"/>
      <c r="C2252" s="3472" t="s">
        <v>755</v>
      </c>
      <c r="D2252" s="3472"/>
      <c r="E2252" s="2226">
        <f t="shared" si="489"/>
        <v>0</v>
      </c>
      <c r="F2252" s="2226">
        <f t="shared" si="489"/>
        <v>5000</v>
      </c>
      <c r="G2252" s="2630"/>
      <c r="H2252" s="1635">
        <f t="shared" si="472"/>
        <v>0</v>
      </c>
    </row>
    <row r="2253" spans="1:17" ht="17.25" customHeight="1">
      <c r="A2253" s="1666"/>
      <c r="B2253" s="1698"/>
      <c r="C2253" s="3763" t="s">
        <v>756</v>
      </c>
      <c r="D2253" s="3763"/>
      <c r="E2253" s="2621">
        <f t="shared" si="489"/>
        <v>0</v>
      </c>
      <c r="F2253" s="2621">
        <f t="shared" si="489"/>
        <v>5000</v>
      </c>
      <c r="G2253" s="2622"/>
      <c r="H2253" s="1635">
        <f t="shared" si="472"/>
        <v>0</v>
      </c>
    </row>
    <row r="2254" spans="1:17" ht="18.75" customHeight="1">
      <c r="A2254" s="1666"/>
      <c r="B2254" s="1698"/>
      <c r="C2254" s="3752" t="s">
        <v>770</v>
      </c>
      <c r="D2254" s="3752"/>
      <c r="E2254" s="2621">
        <f>E2255+E2256</f>
        <v>0</v>
      </c>
      <c r="F2254" s="2621">
        <f>F2255+F2256</f>
        <v>5000</v>
      </c>
      <c r="G2254" s="2622"/>
      <c r="H2254" s="1635">
        <f t="shared" si="472"/>
        <v>0</v>
      </c>
    </row>
    <row r="2255" spans="1:17" ht="16.5" hidden="1" customHeight="1">
      <c r="A2255" s="1666"/>
      <c r="B2255" s="1698"/>
      <c r="C2255" s="2506" t="s">
        <v>783</v>
      </c>
      <c r="D2255" s="2496" t="s">
        <v>784</v>
      </c>
      <c r="E2255" s="2621">
        <v>0</v>
      </c>
      <c r="F2255" s="2621">
        <f>H2255</f>
        <v>0</v>
      </c>
      <c r="G2255" s="2622"/>
      <c r="H2255" s="1635">
        <f t="shared" si="472"/>
        <v>0</v>
      </c>
    </row>
    <row r="2256" spans="1:17" ht="16.5" customHeight="1" thickBot="1">
      <c r="A2256" s="1666"/>
      <c r="B2256" s="1698"/>
      <c r="C2256" s="2343" t="s">
        <v>787</v>
      </c>
      <c r="D2256" s="1819" t="s">
        <v>788</v>
      </c>
      <c r="E2256" s="2625">
        <v>0</v>
      </c>
      <c r="F2256" s="2625">
        <f>H2256</f>
        <v>5000</v>
      </c>
      <c r="G2256" s="2233"/>
      <c r="H2256" s="1635">
        <f t="shared" si="472"/>
        <v>5000</v>
      </c>
      <c r="Q2256" s="1636">
        <v>5000</v>
      </c>
    </row>
    <row r="2257" spans="1:9" ht="16.5" hidden="1" customHeight="1" thickBot="1">
      <c r="A2257" s="1666"/>
      <c r="B2257" s="1734" t="s">
        <v>1221</v>
      </c>
      <c r="C2257" s="1892"/>
      <c r="D2257" s="2631"/>
      <c r="E2257" s="2632">
        <f t="shared" ref="E2257:F2259" si="490">E2258</f>
        <v>430500</v>
      </c>
      <c r="F2257" s="2632">
        <f t="shared" si="490"/>
        <v>0</v>
      </c>
      <c r="G2257" s="2219">
        <f>F2257/E2257</f>
        <v>0</v>
      </c>
      <c r="H2257" s="1635">
        <f t="shared" si="472"/>
        <v>0</v>
      </c>
    </row>
    <row r="2258" spans="1:9" ht="16.5" hidden="1" customHeight="1">
      <c r="A2258" s="1666"/>
      <c r="B2258" s="1698"/>
      <c r="C2258" s="3472" t="s">
        <v>755</v>
      </c>
      <c r="D2258" s="3472"/>
      <c r="E2258" s="2621">
        <f t="shared" si="490"/>
        <v>430500</v>
      </c>
      <c r="F2258" s="2621">
        <f t="shared" si="490"/>
        <v>0</v>
      </c>
      <c r="G2258" s="2622">
        <f>F2258/E2258</f>
        <v>0</v>
      </c>
      <c r="H2258" s="1635">
        <f t="shared" si="472"/>
        <v>0</v>
      </c>
    </row>
    <row r="2259" spans="1:9" ht="16.5" hidden="1" customHeight="1">
      <c r="A2259" s="1666"/>
      <c r="B2259" s="1698"/>
      <c r="C2259" s="3746" t="s">
        <v>825</v>
      </c>
      <c r="D2259" s="3746"/>
      <c r="E2259" s="2621">
        <f t="shared" si="490"/>
        <v>430500</v>
      </c>
      <c r="F2259" s="2621">
        <f t="shared" si="490"/>
        <v>0</v>
      </c>
      <c r="G2259" s="2622">
        <f t="shared" ref="G2259:G2260" si="491">F2259/E2259</f>
        <v>0</v>
      </c>
      <c r="H2259" s="1635">
        <f t="shared" si="472"/>
        <v>0</v>
      </c>
    </row>
    <row r="2260" spans="1:9" ht="16.5" hidden="1" customHeight="1" thickBot="1">
      <c r="A2260" s="1666"/>
      <c r="B2260" s="1698"/>
      <c r="C2260" s="2506" t="s">
        <v>892</v>
      </c>
      <c r="D2260" s="2496" t="s">
        <v>784</v>
      </c>
      <c r="E2260" s="2621">
        <v>430500</v>
      </c>
      <c r="F2260" s="2621">
        <f>H2260</f>
        <v>0</v>
      </c>
      <c r="G2260" s="2622">
        <f t="shared" si="491"/>
        <v>0</v>
      </c>
      <c r="H2260" s="1635">
        <f t="shared" si="472"/>
        <v>0</v>
      </c>
    </row>
    <row r="2261" spans="1:9" ht="18.75" hidden="1" customHeight="1" thickBot="1">
      <c r="A2261" s="1666"/>
      <c r="B2261" s="1734" t="s">
        <v>1222</v>
      </c>
      <c r="C2261" s="1735"/>
      <c r="D2261" s="1736" t="s">
        <v>1223</v>
      </c>
      <c r="E2261" s="2218">
        <f>E2262</f>
        <v>0</v>
      </c>
      <c r="F2261" s="2218">
        <f t="shared" ref="F2261:F2263" si="492">F2262</f>
        <v>0</v>
      </c>
      <c r="G2261" s="2219" t="e">
        <f t="shared" si="478"/>
        <v>#DIV/0!</v>
      </c>
      <c r="H2261" s="1635">
        <f t="shared" si="472"/>
        <v>0</v>
      </c>
    </row>
    <row r="2262" spans="1:9" ht="15.75" hidden="1" customHeight="1">
      <c r="A2262" s="1666"/>
      <c r="B2262" s="3786"/>
      <c r="C2262" s="3472" t="s">
        <v>810</v>
      </c>
      <c r="D2262" s="3472"/>
      <c r="E2262" s="2220">
        <f>E2263</f>
        <v>0</v>
      </c>
      <c r="F2262" s="2220">
        <f t="shared" si="492"/>
        <v>0</v>
      </c>
      <c r="G2262" s="2221" t="e">
        <f t="shared" si="478"/>
        <v>#DIV/0!</v>
      </c>
      <c r="H2262" s="1635">
        <f t="shared" si="472"/>
        <v>0</v>
      </c>
    </row>
    <row r="2263" spans="1:9" ht="15" hidden="1" customHeight="1">
      <c r="A2263" s="1666"/>
      <c r="B2263" s="3787"/>
      <c r="C2263" s="3760" t="s">
        <v>811</v>
      </c>
      <c r="D2263" s="3760"/>
      <c r="E2263" s="2621">
        <f>E2264</f>
        <v>0</v>
      </c>
      <c r="F2263" s="2621">
        <f t="shared" si="492"/>
        <v>0</v>
      </c>
      <c r="G2263" s="2622" t="e">
        <f t="shared" si="478"/>
        <v>#DIV/0!</v>
      </c>
      <c r="H2263" s="1635">
        <f t="shared" si="472"/>
        <v>0</v>
      </c>
    </row>
    <row r="2264" spans="1:9" ht="40.5" hidden="1" customHeight="1" thickBot="1">
      <c r="A2264" s="1666"/>
      <c r="B2264" s="3788"/>
      <c r="C2264" s="2327" t="s">
        <v>938</v>
      </c>
      <c r="D2264" s="2328" t="s">
        <v>939</v>
      </c>
      <c r="E2264" s="2623"/>
      <c r="F2264" s="2623">
        <f>H2264</f>
        <v>0</v>
      </c>
      <c r="G2264" s="2624" t="e">
        <f t="shared" si="478"/>
        <v>#DIV/0!</v>
      </c>
      <c r="H2264" s="1635">
        <f t="shared" si="472"/>
        <v>0</v>
      </c>
    </row>
    <row r="2265" spans="1:9" ht="28.5" customHeight="1" thickBot="1">
      <c r="A2265" s="1666"/>
      <c r="B2265" s="1734" t="s">
        <v>1224</v>
      </c>
      <c r="C2265" s="1735"/>
      <c r="D2265" s="1736" t="s">
        <v>1225</v>
      </c>
      <c r="E2265" s="2633">
        <f>E2266+E2277</f>
        <v>455268</v>
      </c>
      <c r="F2265" s="2633">
        <f t="shared" ref="F2265" si="493">F2266+F2277</f>
        <v>400000</v>
      </c>
      <c r="G2265" s="2634">
        <f t="shared" si="478"/>
        <v>0.87860337207974204</v>
      </c>
      <c r="H2265" s="1635">
        <f t="shared" si="472"/>
        <v>0</v>
      </c>
    </row>
    <row r="2266" spans="1:9" ht="17.100000000000001" customHeight="1">
      <c r="A2266" s="1666"/>
      <c r="B2266" s="3467"/>
      <c r="C2266" s="3472" t="s">
        <v>755</v>
      </c>
      <c r="D2266" s="3472"/>
      <c r="E2266" s="2220">
        <f t="shared" ref="E2266:F2266" si="494">SUM(E2267)</f>
        <v>455268</v>
      </c>
      <c r="F2266" s="2220">
        <f t="shared" si="494"/>
        <v>400000</v>
      </c>
      <c r="G2266" s="2221">
        <f t="shared" si="478"/>
        <v>0.87860337207974204</v>
      </c>
      <c r="H2266" s="1635">
        <f t="shared" si="472"/>
        <v>0</v>
      </c>
    </row>
    <row r="2267" spans="1:9" ht="17.100000000000001" customHeight="1">
      <c r="A2267" s="1666"/>
      <c r="B2267" s="3467"/>
      <c r="C2267" s="3763" t="s">
        <v>756</v>
      </c>
      <c r="D2267" s="3763"/>
      <c r="E2267" s="2625">
        <f>SUM(E2268,E2273)</f>
        <v>455268</v>
      </c>
      <c r="F2267" s="2625">
        <f t="shared" ref="F2267" si="495">SUM(F2268,F2273)</f>
        <v>400000</v>
      </c>
      <c r="G2267" s="2626">
        <f t="shared" si="478"/>
        <v>0.87860337207974204</v>
      </c>
      <c r="H2267" s="1635">
        <f t="shared" si="472"/>
        <v>0</v>
      </c>
    </row>
    <row r="2268" spans="1:9" ht="17.100000000000001" customHeight="1">
      <c r="A2268" s="1666"/>
      <c r="B2268" s="3467"/>
      <c r="C2268" s="3771" t="s">
        <v>757</v>
      </c>
      <c r="D2268" s="3771"/>
      <c r="E2268" s="2627">
        <f>SUM(E2269:E2271)</f>
        <v>416268</v>
      </c>
      <c r="F2268" s="2627">
        <f>SUM(F2269:F2271)</f>
        <v>371000</v>
      </c>
      <c r="G2268" s="2628">
        <f t="shared" si="478"/>
        <v>0.89125275063180454</v>
      </c>
      <c r="H2268" s="1635">
        <f t="shared" si="472"/>
        <v>0</v>
      </c>
    </row>
    <row r="2269" spans="1:9" ht="17.100000000000001" customHeight="1">
      <c r="A2269" s="1666"/>
      <c r="B2269" s="3467"/>
      <c r="C2269" s="2592" t="s">
        <v>758</v>
      </c>
      <c r="D2269" s="2587" t="s">
        <v>759</v>
      </c>
      <c r="E2269" s="2625">
        <v>347933</v>
      </c>
      <c r="F2269" s="2625">
        <f>H2269</f>
        <v>310097</v>
      </c>
      <c r="G2269" s="2626">
        <f t="shared" si="478"/>
        <v>0.89125492551726915</v>
      </c>
      <c r="H2269" s="1635">
        <f t="shared" si="472"/>
        <v>310097</v>
      </c>
      <c r="I2269" s="1636">
        <v>310097</v>
      </c>
    </row>
    <row r="2270" spans="1:9" ht="17.100000000000001" customHeight="1">
      <c r="A2270" s="1666"/>
      <c r="B2270" s="3467"/>
      <c r="C2270" s="2327" t="s">
        <v>762</v>
      </c>
      <c r="D2270" s="2328" t="s">
        <v>763</v>
      </c>
      <c r="E2270" s="2625">
        <v>59810</v>
      </c>
      <c r="F2270" s="2625">
        <f t="shared" ref="F2270:F2271" si="496">H2270</f>
        <v>53306</v>
      </c>
      <c r="G2270" s="2626">
        <f t="shared" si="478"/>
        <v>0.89125564286908543</v>
      </c>
      <c r="H2270" s="1635">
        <f t="shared" si="472"/>
        <v>53306</v>
      </c>
      <c r="I2270" s="1636">
        <v>53306</v>
      </c>
    </row>
    <row r="2271" spans="1:9" ht="17.100000000000001" customHeight="1">
      <c r="A2271" s="1666"/>
      <c r="B2271" s="3467"/>
      <c r="C2271" s="2327" t="s">
        <v>764</v>
      </c>
      <c r="D2271" s="2328" t="s">
        <v>1440</v>
      </c>
      <c r="E2271" s="2625">
        <v>8525</v>
      </c>
      <c r="F2271" s="2625">
        <f t="shared" si="496"/>
        <v>7597</v>
      </c>
      <c r="G2271" s="2626">
        <f t="shared" si="478"/>
        <v>0.89114369501466273</v>
      </c>
      <c r="H2271" s="1635">
        <f t="shared" si="472"/>
        <v>7597</v>
      </c>
      <c r="I2271" s="1636">
        <v>7597</v>
      </c>
    </row>
    <row r="2272" spans="1:9" ht="17.100000000000001" customHeight="1">
      <c r="A2272" s="1666"/>
      <c r="B2272" s="3467"/>
      <c r="C2272" s="1960"/>
      <c r="D2272" s="1961"/>
      <c r="E2272" s="2635"/>
      <c r="F2272" s="2635"/>
      <c r="G2272" s="2630"/>
      <c r="H2272" s="1635">
        <f t="shared" si="472"/>
        <v>0</v>
      </c>
    </row>
    <row r="2273" spans="1:9" ht="17.100000000000001" customHeight="1">
      <c r="A2273" s="1666"/>
      <c r="B2273" s="3467"/>
      <c r="C2273" s="3752" t="s">
        <v>770</v>
      </c>
      <c r="D2273" s="3752"/>
      <c r="E2273" s="2627">
        <f>E2274+E2275</f>
        <v>39000</v>
      </c>
      <c r="F2273" s="2627">
        <f>F2274+F2275</f>
        <v>29000</v>
      </c>
      <c r="G2273" s="2628">
        <f t="shared" si="478"/>
        <v>0.74358974358974361</v>
      </c>
      <c r="H2273" s="1635">
        <f t="shared" ref="H2273:H2344" si="497">SUM(I2273:AE2273)</f>
        <v>0</v>
      </c>
    </row>
    <row r="2274" spans="1:9" ht="17.100000000000001" customHeight="1">
      <c r="A2274" s="1666"/>
      <c r="B2274" s="3467"/>
      <c r="C2274" s="2506" t="s">
        <v>773</v>
      </c>
      <c r="D2274" s="2496" t="s">
        <v>774</v>
      </c>
      <c r="E2274" s="2625">
        <v>24000</v>
      </c>
      <c r="F2274" s="2625">
        <f>H2274</f>
        <v>14000</v>
      </c>
      <c r="G2274" s="2628">
        <f t="shared" si="478"/>
        <v>0.58333333333333337</v>
      </c>
      <c r="H2274" s="1635">
        <f t="shared" si="497"/>
        <v>14000</v>
      </c>
      <c r="I2274" s="1636">
        <v>14000</v>
      </c>
    </row>
    <row r="2275" spans="1:9" ht="19.5" customHeight="1" thickBot="1">
      <c r="A2275" s="1666"/>
      <c r="B2275" s="3467"/>
      <c r="C2275" s="2327" t="s">
        <v>805</v>
      </c>
      <c r="D2275" s="2328" t="s">
        <v>806</v>
      </c>
      <c r="E2275" s="2625">
        <v>15000</v>
      </c>
      <c r="F2275" s="2625">
        <f>H2275</f>
        <v>15000</v>
      </c>
      <c r="G2275" s="2628">
        <f t="shared" si="478"/>
        <v>1</v>
      </c>
      <c r="H2275" s="1635">
        <f t="shared" si="497"/>
        <v>15000</v>
      </c>
      <c r="I2275" s="1636">
        <v>15000</v>
      </c>
    </row>
    <row r="2276" spans="1:9" ht="17.100000000000001" hidden="1" customHeight="1">
      <c r="A2276" s="1666"/>
      <c r="B2276" s="1698"/>
      <c r="C2276" s="3795"/>
      <c r="D2276" s="3796"/>
      <c r="E2276" s="2625"/>
      <c r="F2276" s="2625"/>
      <c r="G2276" s="2628"/>
      <c r="H2276" s="1635">
        <f t="shared" si="497"/>
        <v>0</v>
      </c>
    </row>
    <row r="2277" spans="1:9" ht="17.100000000000001" hidden="1" customHeight="1">
      <c r="A2277" s="1666"/>
      <c r="B2277" s="1698"/>
      <c r="C2277" s="3497" t="s">
        <v>810</v>
      </c>
      <c r="D2277" s="3497"/>
      <c r="E2277" s="2220">
        <f t="shared" ref="E2277:F2277" si="498">E2278</f>
        <v>0</v>
      </c>
      <c r="F2277" s="2220">
        <f t="shared" si="498"/>
        <v>0</v>
      </c>
      <c r="G2277" s="2628" t="e">
        <f t="shared" si="478"/>
        <v>#DIV/0!</v>
      </c>
      <c r="H2277" s="1635">
        <f t="shared" si="497"/>
        <v>0</v>
      </c>
    </row>
    <row r="2278" spans="1:9" ht="17.100000000000001" hidden="1" customHeight="1">
      <c r="A2278" s="1666"/>
      <c r="B2278" s="1698"/>
      <c r="C2278" s="3745" t="s">
        <v>811</v>
      </c>
      <c r="D2278" s="3772"/>
      <c r="E2278" s="2625">
        <f>SUM(E2279:E2279)</f>
        <v>0</v>
      </c>
      <c r="F2278" s="2625">
        <f t="shared" ref="F2278" si="499">SUM(F2279:F2279)</f>
        <v>0</v>
      </c>
      <c r="G2278" s="2628" t="e">
        <f t="shared" si="478"/>
        <v>#DIV/0!</v>
      </c>
      <c r="H2278" s="1635">
        <f t="shared" si="497"/>
        <v>0</v>
      </c>
    </row>
    <row r="2279" spans="1:9" ht="17.100000000000001" hidden="1" customHeight="1" thickBot="1">
      <c r="A2279" s="1666"/>
      <c r="B2279" s="1698"/>
      <c r="C2279" s="1706" t="s">
        <v>812</v>
      </c>
      <c r="D2279" s="1707" t="s">
        <v>861</v>
      </c>
      <c r="E2279" s="2621"/>
      <c r="F2279" s="2621">
        <f>H2279</f>
        <v>0</v>
      </c>
      <c r="G2279" s="2628" t="e">
        <f t="shared" si="478"/>
        <v>#DIV/0!</v>
      </c>
      <c r="H2279" s="1635">
        <f t="shared" si="497"/>
        <v>0</v>
      </c>
    </row>
    <row r="2280" spans="1:9" ht="27" customHeight="1" thickBot="1">
      <c r="A2280" s="1666"/>
      <c r="B2280" s="1734" t="s">
        <v>1226</v>
      </c>
      <c r="C2280" s="1735"/>
      <c r="D2280" s="1736" t="s">
        <v>1227</v>
      </c>
      <c r="E2280" s="2218">
        <f t="shared" ref="E2280:F2281" si="500">E2281</f>
        <v>307246</v>
      </c>
      <c r="F2280" s="2218">
        <f t="shared" si="500"/>
        <v>101200</v>
      </c>
      <c r="G2280" s="2219">
        <f t="shared" si="478"/>
        <v>0.32937776244442563</v>
      </c>
      <c r="H2280" s="1635">
        <f t="shared" si="497"/>
        <v>0</v>
      </c>
    </row>
    <row r="2281" spans="1:9" ht="17.100000000000001" customHeight="1">
      <c r="A2281" s="1666"/>
      <c r="B2281" s="3700"/>
      <c r="C2281" s="3472" t="s">
        <v>755</v>
      </c>
      <c r="D2281" s="3472"/>
      <c r="E2281" s="2220">
        <f t="shared" si="500"/>
        <v>307246</v>
      </c>
      <c r="F2281" s="2220">
        <f t="shared" si="500"/>
        <v>101200</v>
      </c>
      <c r="G2281" s="2221">
        <f t="shared" si="478"/>
        <v>0.32937776244442563</v>
      </c>
      <c r="H2281" s="1635">
        <f t="shared" si="497"/>
        <v>0</v>
      </c>
    </row>
    <row r="2282" spans="1:9" ht="16.5" customHeight="1">
      <c r="A2282" s="1666"/>
      <c r="B2282" s="3467"/>
      <c r="C2282" s="3763" t="s">
        <v>756</v>
      </c>
      <c r="D2282" s="3763"/>
      <c r="E2282" s="2625">
        <f>SUM(E2288+E2283)</f>
        <v>307246</v>
      </c>
      <c r="F2282" s="2625">
        <f>SUM(F2288+F2283)</f>
        <v>101200</v>
      </c>
      <c r="G2282" s="2626">
        <f t="shared" si="478"/>
        <v>0.32937776244442563</v>
      </c>
      <c r="H2282" s="1635">
        <f t="shared" si="497"/>
        <v>0</v>
      </c>
    </row>
    <row r="2283" spans="1:9" ht="17.25" customHeight="1">
      <c r="A2283" s="1666"/>
      <c r="B2283" s="3467"/>
      <c r="C2283" s="3771" t="s">
        <v>757</v>
      </c>
      <c r="D2283" s="3771"/>
      <c r="E2283" s="2621">
        <f>E2284+E2285+E2286</f>
        <v>287246</v>
      </c>
      <c r="F2283" s="2621">
        <f>F2284+F2285+F2286</f>
        <v>98200</v>
      </c>
      <c r="G2283" s="2626">
        <f t="shared" si="478"/>
        <v>0.34186724967449506</v>
      </c>
      <c r="H2283" s="1635">
        <f t="shared" si="497"/>
        <v>0</v>
      </c>
    </row>
    <row r="2284" spans="1:9" ht="16.5" customHeight="1">
      <c r="A2284" s="1666"/>
      <c r="B2284" s="3467"/>
      <c r="C2284" s="2592" t="s">
        <v>758</v>
      </c>
      <c r="D2284" s="2587" t="s">
        <v>759</v>
      </c>
      <c r="E2284" s="2621">
        <v>240092</v>
      </c>
      <c r="F2284" s="2621">
        <f>H2284</f>
        <v>82080</v>
      </c>
      <c r="G2284" s="2626">
        <f t="shared" si="478"/>
        <v>0.34186895023574299</v>
      </c>
      <c r="H2284" s="1635">
        <f t="shared" si="497"/>
        <v>82080</v>
      </c>
      <c r="I2284" s="1636">
        <v>82080</v>
      </c>
    </row>
    <row r="2285" spans="1:9" ht="17.25" customHeight="1">
      <c r="A2285" s="1666"/>
      <c r="B2285" s="3467"/>
      <c r="C2285" s="2327" t="s">
        <v>762</v>
      </c>
      <c r="D2285" s="2328" t="s">
        <v>763</v>
      </c>
      <c r="E2285" s="2621">
        <v>41272</v>
      </c>
      <c r="F2285" s="2621">
        <f t="shared" ref="F2285:F2286" si="501">H2285</f>
        <v>14110</v>
      </c>
      <c r="G2285" s="2626">
        <f t="shared" si="478"/>
        <v>0.34187827098274859</v>
      </c>
      <c r="H2285" s="1635">
        <f t="shared" si="497"/>
        <v>14110</v>
      </c>
      <c r="I2285" s="1636">
        <v>14110</v>
      </c>
    </row>
    <row r="2286" spans="1:9" ht="25.5" customHeight="1">
      <c r="A2286" s="1666"/>
      <c r="B2286" s="3467"/>
      <c r="C2286" s="2327" t="s">
        <v>764</v>
      </c>
      <c r="D2286" s="2328" t="s">
        <v>1440</v>
      </c>
      <c r="E2286" s="2621">
        <v>5882</v>
      </c>
      <c r="F2286" s="2621">
        <f t="shared" si="501"/>
        <v>2010</v>
      </c>
      <c r="G2286" s="2626">
        <f t="shared" si="478"/>
        <v>0.34172050323019382</v>
      </c>
      <c r="H2286" s="1635">
        <f t="shared" si="497"/>
        <v>2010</v>
      </c>
      <c r="I2286" s="1636">
        <v>2010</v>
      </c>
    </row>
    <row r="2287" spans="1:9" ht="12.75" customHeight="1">
      <c r="A2287" s="1666"/>
      <c r="B2287" s="3467"/>
      <c r="C2287" s="2636"/>
      <c r="D2287" s="2636"/>
      <c r="E2287" s="2621"/>
      <c r="F2287" s="2621"/>
      <c r="G2287" s="2626"/>
      <c r="H2287" s="1635">
        <f t="shared" si="497"/>
        <v>0</v>
      </c>
    </row>
    <row r="2288" spans="1:9" ht="17.100000000000001" customHeight="1">
      <c r="A2288" s="1666"/>
      <c r="B2288" s="3467"/>
      <c r="C2288" s="3793" t="s">
        <v>770</v>
      </c>
      <c r="D2288" s="3794"/>
      <c r="E2288" s="2637">
        <f>E2289+E2290</f>
        <v>20000</v>
      </c>
      <c r="F2288" s="2637">
        <f>F2289+F2290</f>
        <v>3000</v>
      </c>
      <c r="G2288" s="2626">
        <f t="shared" si="478"/>
        <v>0.15</v>
      </c>
      <c r="H2288" s="1635">
        <f t="shared" si="497"/>
        <v>0</v>
      </c>
    </row>
    <row r="2289" spans="1:9" ht="17.100000000000001" hidden="1" customHeight="1">
      <c r="A2289" s="1666"/>
      <c r="B2289" s="3467"/>
      <c r="C2289" s="1795" t="s">
        <v>773</v>
      </c>
      <c r="D2289" s="2073" t="s">
        <v>774</v>
      </c>
      <c r="E2289" s="1904">
        <v>17000</v>
      </c>
      <c r="F2289" s="2621">
        <f>H2289</f>
        <v>0</v>
      </c>
      <c r="G2289" s="2626">
        <f t="shared" si="478"/>
        <v>0</v>
      </c>
      <c r="H2289" s="1635">
        <f t="shared" si="497"/>
        <v>0</v>
      </c>
    </row>
    <row r="2290" spans="1:9" ht="19.5" customHeight="1" thickBot="1">
      <c r="A2290" s="1666"/>
      <c r="B2290" s="1831"/>
      <c r="C2290" s="2270" t="s">
        <v>805</v>
      </c>
      <c r="D2290" s="2638" t="s">
        <v>806</v>
      </c>
      <c r="E2290" s="2639">
        <v>3000</v>
      </c>
      <c r="F2290" s="2621">
        <f>H2290</f>
        <v>3000</v>
      </c>
      <c r="G2290" s="2626">
        <f t="shared" si="478"/>
        <v>1</v>
      </c>
      <c r="H2290" s="1635">
        <f t="shared" si="497"/>
        <v>3000</v>
      </c>
      <c r="I2290" s="1636">
        <v>3000</v>
      </c>
    </row>
    <row r="2291" spans="1:9" ht="28.5" customHeight="1" thickBot="1">
      <c r="A2291" s="1666"/>
      <c r="B2291" s="1734" t="s">
        <v>1228</v>
      </c>
      <c r="C2291" s="1735"/>
      <c r="D2291" s="1736" t="s">
        <v>1229</v>
      </c>
      <c r="E2291" s="2218">
        <f t="shared" ref="E2291:F2292" si="502">E2292</f>
        <v>2390</v>
      </c>
      <c r="F2291" s="2218">
        <f t="shared" si="502"/>
        <v>1300</v>
      </c>
      <c r="G2291" s="2219">
        <f t="shared" si="478"/>
        <v>0.54393305439330542</v>
      </c>
      <c r="H2291" s="1635">
        <f t="shared" si="497"/>
        <v>0</v>
      </c>
    </row>
    <row r="2292" spans="1:9" ht="17.100000000000001" customHeight="1">
      <c r="A2292" s="3182"/>
      <c r="B2292" s="3519"/>
      <c r="C2292" s="3644" t="s">
        <v>755</v>
      </c>
      <c r="D2292" s="3644"/>
      <c r="E2292" s="3110">
        <f>E2293</f>
        <v>2390</v>
      </c>
      <c r="F2292" s="3110">
        <f t="shared" si="502"/>
        <v>1300</v>
      </c>
      <c r="G2292" s="2221">
        <f t="shared" si="478"/>
        <v>0.54393305439330542</v>
      </c>
      <c r="H2292" s="1635">
        <f t="shared" si="497"/>
        <v>0</v>
      </c>
    </row>
    <row r="2293" spans="1:9" ht="17.100000000000001" customHeight="1">
      <c r="A2293" s="3182"/>
      <c r="B2293" s="3519"/>
      <c r="C2293" s="3800" t="s">
        <v>756</v>
      </c>
      <c r="D2293" s="3800"/>
      <c r="E2293" s="3111">
        <f>SUM(E2299+E2294)</f>
        <v>2390</v>
      </c>
      <c r="F2293" s="3111">
        <f>SUM(F2299+F2294)</f>
        <v>1300</v>
      </c>
      <c r="G2293" s="2626">
        <f t="shared" si="478"/>
        <v>0.54393305439330542</v>
      </c>
      <c r="H2293" s="1635">
        <f t="shared" si="497"/>
        <v>0</v>
      </c>
    </row>
    <row r="2294" spans="1:9" ht="17.100000000000001" hidden="1" customHeight="1">
      <c r="A2294" s="3182"/>
      <c r="B2294" s="3519"/>
      <c r="C2294" s="3801" t="s">
        <v>757</v>
      </c>
      <c r="D2294" s="3801"/>
      <c r="E2294" s="3111">
        <f>E2295+E2296+E2297</f>
        <v>1340</v>
      </c>
      <c r="F2294" s="3111">
        <f>F2295+F2296+F2297</f>
        <v>0</v>
      </c>
      <c r="G2294" s="2626">
        <f t="shared" si="478"/>
        <v>0</v>
      </c>
      <c r="H2294" s="1635">
        <f t="shared" si="497"/>
        <v>0</v>
      </c>
    </row>
    <row r="2295" spans="1:9" ht="17.100000000000001" hidden="1" customHeight="1">
      <c r="A2295" s="3182"/>
      <c r="B2295" s="3519"/>
      <c r="C2295" s="3101" t="s">
        <v>758</v>
      </c>
      <c r="D2295" s="3112" t="s">
        <v>759</v>
      </c>
      <c r="E2295" s="3111">
        <v>1119</v>
      </c>
      <c r="F2295" s="3111">
        <f>H2295</f>
        <v>0</v>
      </c>
      <c r="G2295" s="2626">
        <f t="shared" si="478"/>
        <v>0</v>
      </c>
      <c r="H2295" s="1635">
        <f t="shared" si="497"/>
        <v>0</v>
      </c>
    </row>
    <row r="2296" spans="1:9" ht="17.100000000000001" hidden="1" customHeight="1">
      <c r="A2296" s="3182"/>
      <c r="B2296" s="3519"/>
      <c r="C2296" s="3079" t="s">
        <v>762</v>
      </c>
      <c r="D2296" s="3080" t="s">
        <v>763</v>
      </c>
      <c r="E2296" s="3111">
        <v>193</v>
      </c>
      <c r="F2296" s="3111">
        <f t="shared" ref="F2296:F2297" si="503">H2296</f>
        <v>0</v>
      </c>
      <c r="G2296" s="2626">
        <f t="shared" si="478"/>
        <v>0</v>
      </c>
      <c r="H2296" s="1635">
        <f t="shared" si="497"/>
        <v>0</v>
      </c>
    </row>
    <row r="2297" spans="1:9" ht="17.100000000000001" hidden="1" customHeight="1">
      <c r="A2297" s="3182"/>
      <c r="B2297" s="3519"/>
      <c r="C2297" s="3079" t="s">
        <v>764</v>
      </c>
      <c r="D2297" s="3080" t="s">
        <v>816</v>
      </c>
      <c r="E2297" s="3111">
        <v>28</v>
      </c>
      <c r="F2297" s="3111">
        <f t="shared" si="503"/>
        <v>0</v>
      </c>
      <c r="G2297" s="2626">
        <f t="shared" si="478"/>
        <v>0</v>
      </c>
      <c r="H2297" s="1635">
        <f t="shared" si="497"/>
        <v>0</v>
      </c>
    </row>
    <row r="2298" spans="1:9" ht="17.100000000000001" hidden="1" customHeight="1">
      <c r="A2298" s="3182"/>
      <c r="B2298" s="3519"/>
      <c r="C2298" s="3113"/>
      <c r="D2298" s="3113"/>
      <c r="E2298" s="3111"/>
      <c r="F2298" s="3111"/>
      <c r="G2298" s="2626"/>
      <c r="H2298" s="1635">
        <f t="shared" si="497"/>
        <v>0</v>
      </c>
    </row>
    <row r="2299" spans="1:9" ht="17.100000000000001" customHeight="1">
      <c r="A2299" s="3182"/>
      <c r="B2299" s="3519"/>
      <c r="C2299" s="3802" t="s">
        <v>770</v>
      </c>
      <c r="D2299" s="3802"/>
      <c r="E2299" s="3114">
        <f t="shared" ref="E2299:F2299" si="504">E2301+E2300</f>
        <v>1050</v>
      </c>
      <c r="F2299" s="3114">
        <f t="shared" si="504"/>
        <v>1300</v>
      </c>
      <c r="G2299" s="2628">
        <f t="shared" si="478"/>
        <v>1.2380952380952381</v>
      </c>
      <c r="H2299" s="1635">
        <f t="shared" si="497"/>
        <v>0</v>
      </c>
    </row>
    <row r="2300" spans="1:9" ht="17.25" hidden="1" customHeight="1">
      <c r="A2300" s="3182"/>
      <c r="B2300" s="3519"/>
      <c r="C2300" s="3079" t="s">
        <v>773</v>
      </c>
      <c r="D2300" s="3080" t="s">
        <v>774</v>
      </c>
      <c r="E2300" s="3111">
        <v>0</v>
      </c>
      <c r="F2300" s="3111">
        <f>H2300</f>
        <v>0</v>
      </c>
      <c r="G2300" s="2626" t="e">
        <f t="shared" si="478"/>
        <v>#DIV/0!</v>
      </c>
      <c r="H2300" s="1635">
        <f t="shared" si="497"/>
        <v>0</v>
      </c>
    </row>
    <row r="2301" spans="1:9" ht="19.5" customHeight="1" thickBot="1">
      <c r="A2301" s="1792"/>
      <c r="B2301" s="3773"/>
      <c r="C2301" s="3097" t="s">
        <v>805</v>
      </c>
      <c r="D2301" s="3082" t="s">
        <v>806</v>
      </c>
      <c r="E2301" s="2232">
        <v>1050</v>
      </c>
      <c r="F2301" s="2232">
        <f>H2301</f>
        <v>1300</v>
      </c>
      <c r="G2301" s="2626">
        <f t="shared" si="478"/>
        <v>1.2380952380952381</v>
      </c>
      <c r="H2301" s="1635">
        <f t="shared" si="497"/>
        <v>1300</v>
      </c>
      <c r="I2301" s="1636">
        <v>1300</v>
      </c>
    </row>
    <row r="2302" spans="1:9" ht="20.25" customHeight="1" thickBot="1">
      <c r="A2302" s="1666"/>
      <c r="B2302" s="2289" t="s">
        <v>1230</v>
      </c>
      <c r="C2302" s="2640"/>
      <c r="D2302" s="3050" t="s">
        <v>1231</v>
      </c>
      <c r="E2302" s="2632">
        <f t="shared" ref="E2302:F2302" si="505">E2303</f>
        <v>338997</v>
      </c>
      <c r="F2302" s="2632">
        <f t="shared" si="505"/>
        <v>100000</v>
      </c>
      <c r="G2302" s="2641">
        <f t="shared" si="478"/>
        <v>0.2949878612495096</v>
      </c>
      <c r="H2302" s="1635">
        <f t="shared" si="497"/>
        <v>0</v>
      </c>
    </row>
    <row r="2303" spans="1:9" ht="17.100000000000001" customHeight="1">
      <c r="A2303" s="1666"/>
      <c r="B2303" s="1678"/>
      <c r="C2303" s="3472" t="s">
        <v>755</v>
      </c>
      <c r="D2303" s="3472"/>
      <c r="E2303" s="2635">
        <f>E2304+E2309</f>
        <v>338997</v>
      </c>
      <c r="F2303" s="2071">
        <f>F2304+F2309</f>
        <v>100000</v>
      </c>
      <c r="G2303" s="2603">
        <f>F2303/E2303</f>
        <v>0.2949878612495096</v>
      </c>
      <c r="H2303" s="1635">
        <f t="shared" si="497"/>
        <v>0</v>
      </c>
    </row>
    <row r="2304" spans="1:9" ht="17.100000000000001" customHeight="1">
      <c r="A2304" s="1666"/>
      <c r="B2304" s="1678"/>
      <c r="C2304" s="3760" t="s">
        <v>756</v>
      </c>
      <c r="D2304" s="3760"/>
      <c r="E2304" s="2621">
        <f>E2305</f>
        <v>332997</v>
      </c>
      <c r="F2304" s="1904">
        <f>F2305</f>
        <v>97000</v>
      </c>
      <c r="G2304" s="1905">
        <f t="shared" ref="G2304:G2311" si="506">F2304/E2304</f>
        <v>0.29129391556080086</v>
      </c>
      <c r="H2304" s="1635">
        <f t="shared" si="497"/>
        <v>0</v>
      </c>
    </row>
    <row r="2305" spans="1:17" ht="17.100000000000001" customHeight="1">
      <c r="A2305" s="1666"/>
      <c r="B2305" s="1678"/>
      <c r="C2305" s="3797" t="s">
        <v>757</v>
      </c>
      <c r="D2305" s="3798"/>
      <c r="E2305" s="2621">
        <f>E2306+E2307+E2308</f>
        <v>332997</v>
      </c>
      <c r="F2305" s="1904">
        <f>F2306+F2307+F2308</f>
        <v>97000</v>
      </c>
      <c r="G2305" s="1905">
        <f t="shared" si="506"/>
        <v>0.29129391556080086</v>
      </c>
      <c r="H2305" s="1635">
        <f t="shared" si="497"/>
        <v>0</v>
      </c>
    </row>
    <row r="2306" spans="1:17" ht="17.100000000000001" customHeight="1">
      <c r="A2306" s="1666"/>
      <c r="B2306" s="1678"/>
      <c r="C2306" s="2592" t="s">
        <v>758</v>
      </c>
      <c r="D2306" s="2587" t="s">
        <v>759</v>
      </c>
      <c r="E2306" s="2621">
        <v>278330</v>
      </c>
      <c r="F2306" s="1904">
        <f>H2306</f>
        <v>81077</v>
      </c>
      <c r="G2306" s="1905">
        <f t="shared" si="506"/>
        <v>0.29129809937843565</v>
      </c>
      <c r="H2306" s="1635">
        <f t="shared" si="497"/>
        <v>81077</v>
      </c>
      <c r="I2306" s="1636">
        <v>81077</v>
      </c>
    </row>
    <row r="2307" spans="1:17" ht="17.100000000000001" customHeight="1">
      <c r="A2307" s="1666"/>
      <c r="B2307" s="1678"/>
      <c r="C2307" s="2327" t="s">
        <v>762</v>
      </c>
      <c r="D2307" s="2328" t="s">
        <v>763</v>
      </c>
      <c r="E2307" s="2621">
        <v>47846</v>
      </c>
      <c r="F2307" s="1904">
        <f t="shared" ref="F2307:F2308" si="507">H2307</f>
        <v>13937</v>
      </c>
      <c r="G2307" s="1905">
        <f t="shared" si="506"/>
        <v>0.29128871797015427</v>
      </c>
      <c r="H2307" s="1635">
        <f t="shared" si="497"/>
        <v>13937</v>
      </c>
      <c r="I2307" s="1636">
        <v>13937</v>
      </c>
    </row>
    <row r="2308" spans="1:17" ht="28.5" customHeight="1">
      <c r="A2308" s="1666"/>
      <c r="B2308" s="1678"/>
      <c r="C2308" s="2327" t="s">
        <v>764</v>
      </c>
      <c r="D2308" s="2328" t="s">
        <v>1440</v>
      </c>
      <c r="E2308" s="2625">
        <v>6821</v>
      </c>
      <c r="F2308" s="1904">
        <f t="shared" si="507"/>
        <v>1986</v>
      </c>
      <c r="G2308" s="1905">
        <f t="shared" si="506"/>
        <v>0.29115965400967603</v>
      </c>
      <c r="H2308" s="1635">
        <f t="shared" si="497"/>
        <v>1986</v>
      </c>
      <c r="I2308" s="1636">
        <v>1986</v>
      </c>
    </row>
    <row r="2309" spans="1:17" ht="17.100000000000001" customHeight="1">
      <c r="A2309" s="1666"/>
      <c r="B2309" s="1678"/>
      <c r="C2309" s="3752" t="s">
        <v>770</v>
      </c>
      <c r="D2309" s="3752"/>
      <c r="E2309" s="2627">
        <f t="shared" ref="E2309:F2309" si="508">E2311+E2310</f>
        <v>6000</v>
      </c>
      <c r="F2309" s="1906">
        <f t="shared" si="508"/>
        <v>3000</v>
      </c>
      <c r="G2309" s="1905">
        <f t="shared" si="506"/>
        <v>0.5</v>
      </c>
      <c r="H2309" s="1635">
        <f t="shared" si="497"/>
        <v>0</v>
      </c>
    </row>
    <row r="2310" spans="1:17" ht="17.25" hidden="1" customHeight="1">
      <c r="A2310" s="1666"/>
      <c r="B2310" s="1678"/>
      <c r="C2310" s="2327" t="s">
        <v>773</v>
      </c>
      <c r="D2310" s="2328" t="s">
        <v>774</v>
      </c>
      <c r="E2310" s="2625">
        <v>3000</v>
      </c>
      <c r="F2310" s="2642">
        <f>H2310</f>
        <v>0</v>
      </c>
      <c r="G2310" s="1905">
        <f t="shared" si="506"/>
        <v>0</v>
      </c>
      <c r="H2310" s="1635">
        <f t="shared" si="497"/>
        <v>0</v>
      </c>
    </row>
    <row r="2311" spans="1:17" ht="18.75" customHeight="1" thickBot="1">
      <c r="A2311" s="1666"/>
      <c r="B2311" s="1678"/>
      <c r="C2311" s="2551" t="s">
        <v>805</v>
      </c>
      <c r="D2311" s="2490" t="s">
        <v>806</v>
      </c>
      <c r="E2311" s="2621">
        <v>3000</v>
      </c>
      <c r="F2311" s="2323">
        <f>H2311</f>
        <v>3000</v>
      </c>
      <c r="G2311" s="1905">
        <f t="shared" si="506"/>
        <v>1</v>
      </c>
      <c r="H2311" s="1635">
        <f t="shared" si="497"/>
        <v>3000</v>
      </c>
      <c r="I2311" s="1636">
        <v>3000</v>
      </c>
    </row>
    <row r="2312" spans="1:17" ht="17.100000000000001" customHeight="1" thickBot="1">
      <c r="A2312" s="1666"/>
      <c r="B2312" s="1734" t="s">
        <v>1232</v>
      </c>
      <c r="C2312" s="1735"/>
      <c r="D2312" s="1736" t="s">
        <v>11</v>
      </c>
      <c r="E2312" s="2218">
        <f>E2313+E2330</f>
        <v>1815752</v>
      </c>
      <c r="F2312" s="2218">
        <f>F2313+F2330</f>
        <v>37000</v>
      </c>
      <c r="G2312" s="2641">
        <f t="shared" si="478"/>
        <v>2.0377232133022571E-2</v>
      </c>
      <c r="H2312" s="1635">
        <f t="shared" si="497"/>
        <v>0</v>
      </c>
    </row>
    <row r="2313" spans="1:17" ht="17.100000000000001" customHeight="1">
      <c r="A2313" s="1666"/>
      <c r="B2313" s="3467"/>
      <c r="C2313" s="3472" t="s">
        <v>755</v>
      </c>
      <c r="D2313" s="3472"/>
      <c r="E2313" s="1805">
        <f>E2314+E2327</f>
        <v>83325</v>
      </c>
      <c r="F2313" s="1805">
        <f>F2314+F2327</f>
        <v>37000</v>
      </c>
      <c r="G2313" s="1816">
        <f t="shared" si="478"/>
        <v>0.44404440444044402</v>
      </c>
      <c r="H2313" s="1635">
        <f t="shared" si="497"/>
        <v>0</v>
      </c>
    </row>
    <row r="2314" spans="1:17" ht="17.100000000000001" customHeight="1">
      <c r="A2314" s="1666"/>
      <c r="B2314" s="3467"/>
      <c r="C2314" s="3763" t="s">
        <v>756</v>
      </c>
      <c r="D2314" s="3763"/>
      <c r="E2314" s="1904">
        <f>E2315+E2321</f>
        <v>59714</v>
      </c>
      <c r="F2314" s="1904">
        <f>F2315+F2321</f>
        <v>37000</v>
      </c>
      <c r="G2314" s="1905">
        <f t="shared" si="478"/>
        <v>0.61962018957028497</v>
      </c>
      <c r="H2314" s="1635">
        <f t="shared" si="497"/>
        <v>0</v>
      </c>
    </row>
    <row r="2315" spans="1:17" ht="17.100000000000001" customHeight="1">
      <c r="A2315" s="1666"/>
      <c r="B2315" s="3467"/>
      <c r="C2315" s="3797" t="s">
        <v>757</v>
      </c>
      <c r="D2315" s="3798"/>
      <c r="E2315" s="1904">
        <f>E2316+E2317+E2318+E2319</f>
        <v>31214</v>
      </c>
      <c r="F2315" s="1904">
        <f>F2316+F2317+F2318+F2319</f>
        <v>2500</v>
      </c>
      <c r="G2315" s="1905">
        <f t="shared" si="478"/>
        <v>8.0092266290766961E-2</v>
      </c>
      <c r="H2315" s="1635">
        <f t="shared" si="497"/>
        <v>0</v>
      </c>
    </row>
    <row r="2316" spans="1:17" ht="17.100000000000001" hidden="1" customHeight="1">
      <c r="A2316" s="1666"/>
      <c r="B2316" s="3467"/>
      <c r="C2316" s="2522" t="s">
        <v>762</v>
      </c>
      <c r="D2316" s="2587" t="s">
        <v>759</v>
      </c>
      <c r="E2316" s="1904">
        <v>4126</v>
      </c>
      <c r="F2316" s="1904">
        <f>H2316</f>
        <v>0</v>
      </c>
      <c r="G2316" s="1905">
        <f t="shared" si="478"/>
        <v>0</v>
      </c>
      <c r="H2316" s="1635">
        <f t="shared" si="497"/>
        <v>0</v>
      </c>
    </row>
    <row r="2317" spans="1:17" ht="24.75" hidden="1" customHeight="1">
      <c r="A2317" s="1666"/>
      <c r="B2317" s="3467"/>
      <c r="C2317" s="2522" t="s">
        <v>764</v>
      </c>
      <c r="D2317" s="2328" t="s">
        <v>765</v>
      </c>
      <c r="E2317" s="1904">
        <v>528</v>
      </c>
      <c r="F2317" s="1904">
        <f t="shared" ref="F2317:F2319" si="509">H2317</f>
        <v>0</v>
      </c>
      <c r="G2317" s="1905">
        <f t="shared" si="478"/>
        <v>0</v>
      </c>
      <c r="H2317" s="1635">
        <f t="shared" si="497"/>
        <v>0</v>
      </c>
    </row>
    <row r="2318" spans="1:17" ht="17.100000000000001" customHeight="1">
      <c r="A2318" s="1666"/>
      <c r="B2318" s="3467"/>
      <c r="C2318" s="2522" t="s">
        <v>766</v>
      </c>
      <c r="D2318" s="2643" t="s">
        <v>767</v>
      </c>
      <c r="E2318" s="1904">
        <v>26500</v>
      </c>
      <c r="F2318" s="1904">
        <f t="shared" si="509"/>
        <v>2500</v>
      </c>
      <c r="G2318" s="1905">
        <f t="shared" si="478"/>
        <v>9.4339622641509441E-2</v>
      </c>
      <c r="H2318" s="1635">
        <f t="shared" si="497"/>
        <v>2500</v>
      </c>
      <c r="Q2318" s="1636">
        <v>2500</v>
      </c>
    </row>
    <row r="2319" spans="1:17" ht="17.100000000000001" hidden="1" customHeight="1">
      <c r="A2319" s="1666"/>
      <c r="B2319" s="3467"/>
      <c r="C2319" s="2522" t="s">
        <v>768</v>
      </c>
      <c r="D2319" s="2584" t="s">
        <v>769</v>
      </c>
      <c r="E2319" s="1904">
        <v>60</v>
      </c>
      <c r="F2319" s="1904">
        <f t="shared" si="509"/>
        <v>0</v>
      </c>
      <c r="G2319" s="1905">
        <f t="shared" si="478"/>
        <v>0</v>
      </c>
      <c r="H2319" s="1635">
        <f t="shared" si="497"/>
        <v>0</v>
      </c>
    </row>
    <row r="2320" spans="1:17" ht="17.100000000000001" customHeight="1">
      <c r="A2320" s="1666"/>
      <c r="B2320" s="3467"/>
      <c r="C2320" s="2643"/>
      <c r="D2320" s="2643"/>
      <c r="E2320" s="1904"/>
      <c r="F2320" s="1904"/>
      <c r="G2320" s="1905"/>
      <c r="H2320" s="1635">
        <f t="shared" si="497"/>
        <v>0</v>
      </c>
    </row>
    <row r="2321" spans="1:17" ht="17.100000000000001" customHeight="1">
      <c r="A2321" s="1666"/>
      <c r="B2321" s="3467"/>
      <c r="C2321" s="3799" t="s">
        <v>770</v>
      </c>
      <c r="D2321" s="3799"/>
      <c r="E2321" s="1906">
        <f>SUM(E2322:E2325)</f>
        <v>28500</v>
      </c>
      <c r="F2321" s="1906">
        <f>SUM(F2322:F2325)</f>
        <v>34500</v>
      </c>
      <c r="G2321" s="1907">
        <f t="shared" si="478"/>
        <v>1.2105263157894737</v>
      </c>
      <c r="H2321" s="1635">
        <f t="shared" si="497"/>
        <v>0</v>
      </c>
    </row>
    <row r="2322" spans="1:17" ht="17.100000000000001" hidden="1" customHeight="1">
      <c r="A2322" s="1666"/>
      <c r="B2322" s="3467"/>
      <c r="C2322" s="2203" t="s">
        <v>869</v>
      </c>
      <c r="D2322" s="2636" t="s">
        <v>839</v>
      </c>
      <c r="E2322" s="2323">
        <v>0</v>
      </c>
      <c r="F2322" s="2323">
        <f>H2322</f>
        <v>0</v>
      </c>
      <c r="G2322" s="1905" t="e">
        <f t="shared" si="478"/>
        <v>#DIV/0!</v>
      </c>
      <c r="H2322" s="1635">
        <f t="shared" si="497"/>
        <v>0</v>
      </c>
    </row>
    <row r="2323" spans="1:17" ht="17.100000000000001" hidden="1" customHeight="1">
      <c r="A2323" s="1666"/>
      <c r="B2323" s="3467"/>
      <c r="C2323" s="2203" t="s">
        <v>773</v>
      </c>
      <c r="D2323" s="2636" t="s">
        <v>774</v>
      </c>
      <c r="E2323" s="2323">
        <v>0</v>
      </c>
      <c r="F2323" s="2323">
        <f t="shared" ref="F2323:F2325" si="510">H2323</f>
        <v>0</v>
      </c>
      <c r="G2323" s="1905" t="e">
        <f t="shared" si="478"/>
        <v>#DIV/0!</v>
      </c>
      <c r="H2323" s="1635">
        <f t="shared" si="497"/>
        <v>0</v>
      </c>
    </row>
    <row r="2324" spans="1:17" ht="17.100000000000001" customHeight="1">
      <c r="A2324" s="1666"/>
      <c r="B2324" s="3467"/>
      <c r="C2324" s="1706" t="s">
        <v>783</v>
      </c>
      <c r="D2324" s="2490" t="s">
        <v>784</v>
      </c>
      <c r="E2324" s="2323">
        <v>21000</v>
      </c>
      <c r="F2324" s="2323">
        <f t="shared" si="510"/>
        <v>22000</v>
      </c>
      <c r="G2324" s="2324">
        <f t="shared" si="478"/>
        <v>1.0476190476190477</v>
      </c>
      <c r="H2324" s="1635">
        <f t="shared" si="497"/>
        <v>22000</v>
      </c>
      <c r="Q2324" s="1636">
        <v>22000</v>
      </c>
    </row>
    <row r="2325" spans="1:17" ht="17.100000000000001" customHeight="1" thickBot="1">
      <c r="A2325" s="1666"/>
      <c r="B2325" s="3467"/>
      <c r="C2325" s="2327" t="s">
        <v>787</v>
      </c>
      <c r="D2325" s="2328" t="s">
        <v>788</v>
      </c>
      <c r="E2325" s="2531">
        <v>7500</v>
      </c>
      <c r="F2325" s="2323">
        <f t="shared" si="510"/>
        <v>12500</v>
      </c>
      <c r="G2325" s="2536">
        <f t="shared" si="478"/>
        <v>1.6666666666666667</v>
      </c>
      <c r="H2325" s="1635">
        <f t="shared" si="497"/>
        <v>12500</v>
      </c>
      <c r="Q2325" s="1636">
        <v>12500</v>
      </c>
    </row>
    <row r="2326" spans="1:17" ht="17.100000000000001" hidden="1" customHeight="1">
      <c r="A2326" s="1666"/>
      <c r="B2326" s="1698"/>
      <c r="C2326" s="3795"/>
      <c r="D2326" s="3803"/>
      <c r="E2326" s="1904"/>
      <c r="F2326" s="1904"/>
      <c r="G2326" s="1905"/>
      <c r="H2326" s="1635">
        <f t="shared" si="497"/>
        <v>0</v>
      </c>
    </row>
    <row r="2327" spans="1:17" ht="17.100000000000001" hidden="1" customHeight="1">
      <c r="A2327" s="1666"/>
      <c r="B2327" s="1698"/>
      <c r="C2327" s="3746" t="s">
        <v>857</v>
      </c>
      <c r="D2327" s="3746"/>
      <c r="E2327" s="1904">
        <f>E2328</f>
        <v>23611</v>
      </c>
      <c r="F2327" s="1904">
        <f t="shared" ref="F2327" si="511">F2328</f>
        <v>0</v>
      </c>
      <c r="G2327" s="1905">
        <f t="shared" si="478"/>
        <v>0</v>
      </c>
      <c r="H2327" s="1635">
        <f t="shared" si="497"/>
        <v>0</v>
      </c>
    </row>
    <row r="2328" spans="1:17" ht="31.5" hidden="1" customHeight="1">
      <c r="A2328" s="1666"/>
      <c r="B2328" s="1698"/>
      <c r="C2328" s="2327" t="s">
        <v>394</v>
      </c>
      <c r="D2328" s="2328" t="s">
        <v>978</v>
      </c>
      <c r="E2328" s="1904">
        <v>23611</v>
      </c>
      <c r="F2328" s="1904">
        <f>H2328</f>
        <v>0</v>
      </c>
      <c r="G2328" s="1905">
        <f t="shared" si="478"/>
        <v>0</v>
      </c>
      <c r="H2328" s="1635">
        <f t="shared" si="497"/>
        <v>0</v>
      </c>
    </row>
    <row r="2329" spans="1:17" ht="17.100000000000001" hidden="1" customHeight="1">
      <c r="A2329" s="1666"/>
      <c r="B2329" s="1698"/>
      <c r="C2329" s="3784"/>
      <c r="D2329" s="3785"/>
      <c r="E2329" s="1904"/>
      <c r="F2329" s="1904"/>
      <c r="G2329" s="1905"/>
      <c r="H2329" s="1635">
        <f t="shared" si="497"/>
        <v>0</v>
      </c>
    </row>
    <row r="2330" spans="1:17" ht="17.100000000000001" hidden="1" customHeight="1">
      <c r="A2330" s="1666"/>
      <c r="B2330" s="1698"/>
      <c r="C2330" s="3804" t="s">
        <v>810</v>
      </c>
      <c r="D2330" s="3805"/>
      <c r="E2330" s="2071">
        <f>E2331</f>
        <v>1732427</v>
      </c>
      <c r="F2330" s="2071">
        <f t="shared" ref="F2330" si="512">F2331</f>
        <v>0</v>
      </c>
      <c r="G2330" s="2054">
        <f t="shared" si="478"/>
        <v>0</v>
      </c>
      <c r="H2330" s="1635">
        <f t="shared" si="497"/>
        <v>0</v>
      </c>
    </row>
    <row r="2331" spans="1:17" ht="17.100000000000001" hidden="1" customHeight="1">
      <c r="A2331" s="1666"/>
      <c r="B2331" s="1698"/>
      <c r="C2331" s="3486" t="s">
        <v>811</v>
      </c>
      <c r="D2331" s="3557"/>
      <c r="E2331" s="1904">
        <f>E2332+E2333</f>
        <v>1732427</v>
      </c>
      <c r="F2331" s="1904">
        <f>F2332+F2333</f>
        <v>0</v>
      </c>
      <c r="G2331" s="1905">
        <f t="shared" si="478"/>
        <v>0</v>
      </c>
      <c r="H2331" s="1635">
        <f t="shared" si="497"/>
        <v>0</v>
      </c>
    </row>
    <row r="2332" spans="1:17" ht="58.5" hidden="1" customHeight="1">
      <c r="A2332" s="1666"/>
      <c r="B2332" s="1698"/>
      <c r="C2332" s="2327" t="s">
        <v>900</v>
      </c>
      <c r="D2332" s="2584" t="s">
        <v>1233</v>
      </c>
      <c r="E2332" s="2323">
        <v>1673819</v>
      </c>
      <c r="F2332" s="2323">
        <f>H2332</f>
        <v>0</v>
      </c>
      <c r="G2332" s="1905">
        <f t="shared" si="478"/>
        <v>0</v>
      </c>
      <c r="H2332" s="1635">
        <f t="shared" si="497"/>
        <v>0</v>
      </c>
    </row>
    <row r="2333" spans="1:17" ht="42.75" hidden="1" customHeight="1" thickBot="1">
      <c r="A2333" s="1666"/>
      <c r="B2333" s="1698"/>
      <c r="C2333" s="2327" t="s">
        <v>938</v>
      </c>
      <c r="D2333" s="2328" t="s">
        <v>939</v>
      </c>
      <c r="E2333" s="1694">
        <v>58608</v>
      </c>
      <c r="F2333" s="2323">
        <f>H2333</f>
        <v>0</v>
      </c>
      <c r="G2333" s="1695">
        <f t="shared" si="478"/>
        <v>0</v>
      </c>
      <c r="H2333" s="1635">
        <f t="shared" si="497"/>
        <v>0</v>
      </c>
    </row>
    <row r="2334" spans="1:17" ht="17.100000000000001" customHeight="1" thickBot="1">
      <c r="A2334" s="1660" t="s">
        <v>116</v>
      </c>
      <c r="B2334" s="1661"/>
      <c r="C2334" s="1662"/>
      <c r="D2334" s="2644" t="s">
        <v>1234</v>
      </c>
      <c r="E2334" s="2645">
        <f>E2335+E2353+E2362+E2371+E2389+E2399+E2408+E2418+E2430+E2447</f>
        <v>93512837</v>
      </c>
      <c r="F2334" s="1768">
        <f>F2335+F2353+F2362+F2371+F2389+F2399+F2408+F2418+F2430+F2447</f>
        <v>95239293</v>
      </c>
      <c r="G2334" s="2646">
        <f t="shared" si="478"/>
        <v>1.0184622352971711</v>
      </c>
      <c r="H2334" s="1635">
        <f t="shared" si="497"/>
        <v>0</v>
      </c>
    </row>
    <row r="2335" spans="1:17" ht="17.100000000000001" customHeight="1" thickBot="1">
      <c r="A2335" s="1666"/>
      <c r="B2335" s="1734" t="s">
        <v>117</v>
      </c>
      <c r="C2335" s="1735"/>
      <c r="D2335" s="1736" t="s">
        <v>692</v>
      </c>
      <c r="E2335" s="1737">
        <f>E2336+E2349</f>
        <v>1052400</v>
      </c>
      <c r="F2335" s="1737">
        <f>F2336+F2349</f>
        <v>924000</v>
      </c>
      <c r="G2335" s="1738">
        <f t="shared" ref="G2335:G2419" si="513">F2335/E2335</f>
        <v>0.87799315849486892</v>
      </c>
      <c r="H2335" s="1635">
        <f t="shared" si="497"/>
        <v>0</v>
      </c>
    </row>
    <row r="2336" spans="1:17" ht="17.100000000000001" customHeight="1">
      <c r="A2336" s="1666"/>
      <c r="B2336" s="3467"/>
      <c r="C2336" s="3472" t="s">
        <v>755</v>
      </c>
      <c r="D2336" s="3472"/>
      <c r="E2336" s="1672">
        <f>E2337+E2341+E2345</f>
        <v>905400</v>
      </c>
      <c r="F2336" s="1672">
        <f>F2337+F2341+F2345</f>
        <v>924000</v>
      </c>
      <c r="G2336" s="1673">
        <f t="shared" si="513"/>
        <v>1.0205434062292909</v>
      </c>
      <c r="H2336" s="1635">
        <f t="shared" si="497"/>
        <v>0</v>
      </c>
    </row>
    <row r="2337" spans="1:30" ht="17.100000000000001" customHeight="1">
      <c r="A2337" s="1666"/>
      <c r="B2337" s="3467"/>
      <c r="C2337" s="3763" t="s">
        <v>756</v>
      </c>
      <c r="D2337" s="3763"/>
      <c r="E2337" s="1749">
        <f>E2338</f>
        <v>7000</v>
      </c>
      <c r="F2337" s="1749">
        <f>F2338</f>
        <v>7000</v>
      </c>
      <c r="G2337" s="1905">
        <f t="shared" si="513"/>
        <v>1</v>
      </c>
      <c r="H2337" s="1635">
        <f t="shared" si="497"/>
        <v>0</v>
      </c>
    </row>
    <row r="2338" spans="1:30" ht="17.100000000000001" customHeight="1">
      <c r="A2338" s="1666"/>
      <c r="B2338" s="3467"/>
      <c r="C2338" s="3799" t="s">
        <v>770</v>
      </c>
      <c r="D2338" s="3799"/>
      <c r="E2338" s="1749">
        <f>E2339</f>
        <v>7000</v>
      </c>
      <c r="F2338" s="1749">
        <f>F2339</f>
        <v>7000</v>
      </c>
      <c r="G2338" s="1905">
        <f t="shared" si="513"/>
        <v>1</v>
      </c>
      <c r="H2338" s="1635">
        <f t="shared" si="497"/>
        <v>0</v>
      </c>
    </row>
    <row r="2339" spans="1:30" ht="17.100000000000001" customHeight="1">
      <c r="A2339" s="1666"/>
      <c r="B2339" s="3467"/>
      <c r="C2339" s="2327" t="s">
        <v>783</v>
      </c>
      <c r="D2339" s="2328" t="s">
        <v>784</v>
      </c>
      <c r="E2339" s="1749">
        <v>7000</v>
      </c>
      <c r="F2339" s="1749">
        <f>H2339</f>
        <v>7000</v>
      </c>
      <c r="G2339" s="1905">
        <f t="shared" si="513"/>
        <v>1</v>
      </c>
      <c r="H2339" s="1635">
        <f t="shared" si="497"/>
        <v>7000</v>
      </c>
      <c r="AD2339" s="1636">
        <v>7000</v>
      </c>
    </row>
    <row r="2340" spans="1:30" ht="14.25" customHeight="1">
      <c r="A2340" s="1666"/>
      <c r="B2340" s="3467"/>
      <c r="C2340" s="1821"/>
      <c r="D2340" s="1821"/>
      <c r="E2340" s="1672"/>
      <c r="F2340" s="1672"/>
      <c r="G2340" s="1673"/>
      <c r="H2340" s="1635">
        <f t="shared" si="497"/>
        <v>0</v>
      </c>
    </row>
    <row r="2341" spans="1:30" ht="17.100000000000001" customHeight="1">
      <c r="A2341" s="1666"/>
      <c r="B2341" s="3467"/>
      <c r="C2341" s="3746" t="s">
        <v>857</v>
      </c>
      <c r="D2341" s="3746"/>
      <c r="E2341" s="1904">
        <f>SUM(E2342:E2343)</f>
        <v>681000</v>
      </c>
      <c r="F2341" s="1904">
        <f>SUM(F2342:F2343)</f>
        <v>700000</v>
      </c>
      <c r="G2341" s="1905">
        <f t="shared" si="513"/>
        <v>1.0279001468428781</v>
      </c>
      <c r="H2341" s="1635">
        <f t="shared" si="497"/>
        <v>0</v>
      </c>
    </row>
    <row r="2342" spans="1:30" ht="53.25" customHeight="1">
      <c r="A2342" s="1666"/>
      <c r="B2342" s="3467"/>
      <c r="C2342" s="2327" t="s">
        <v>409</v>
      </c>
      <c r="D2342" s="2328" t="s">
        <v>876</v>
      </c>
      <c r="E2342" s="1904">
        <v>669000</v>
      </c>
      <c r="F2342" s="1904">
        <f>H2342</f>
        <v>700000</v>
      </c>
      <c r="G2342" s="1905">
        <f t="shared" si="513"/>
        <v>1.0463378176382661</v>
      </c>
      <c r="H2342" s="1635">
        <f t="shared" si="497"/>
        <v>700000</v>
      </c>
      <c r="AD2342" s="1636">
        <v>700000</v>
      </c>
    </row>
    <row r="2343" spans="1:30" ht="25.5" hidden="1">
      <c r="A2343" s="1666"/>
      <c r="B2343" s="3467"/>
      <c r="C2343" s="2343" t="s">
        <v>394</v>
      </c>
      <c r="D2343" s="1847" t="s">
        <v>978</v>
      </c>
      <c r="E2343" s="1749">
        <v>12000</v>
      </c>
      <c r="F2343" s="1904">
        <f>H2343</f>
        <v>0</v>
      </c>
      <c r="G2343" s="1905">
        <f t="shared" si="513"/>
        <v>0</v>
      </c>
      <c r="H2343" s="1635">
        <f t="shared" si="497"/>
        <v>0</v>
      </c>
    </row>
    <row r="2344" spans="1:30" ht="17.100000000000001" customHeight="1">
      <c r="A2344" s="1666"/>
      <c r="B2344" s="3467"/>
      <c r="C2344" s="1699"/>
      <c r="D2344" s="1699"/>
      <c r="E2344" s="1683"/>
      <c r="F2344" s="1683"/>
      <c r="G2344" s="1684"/>
      <c r="H2344" s="1635">
        <f t="shared" si="497"/>
        <v>0</v>
      </c>
    </row>
    <row r="2345" spans="1:30" ht="17.100000000000001" customHeight="1">
      <c r="A2345" s="1666"/>
      <c r="B2345" s="3467"/>
      <c r="C2345" s="3745" t="s">
        <v>807</v>
      </c>
      <c r="D2345" s="3745"/>
      <c r="E2345" s="1904">
        <f t="shared" ref="E2345:F2345" si="514">SUM(E2346:E2347)</f>
        <v>217400</v>
      </c>
      <c r="F2345" s="1904">
        <f t="shared" si="514"/>
        <v>217000</v>
      </c>
      <c r="G2345" s="1905">
        <f t="shared" si="513"/>
        <v>0.99816007359705616</v>
      </c>
      <c r="H2345" s="1635">
        <f t="shared" ref="H2345:H2420" si="515">SUM(I2345:AE2345)</f>
        <v>0</v>
      </c>
    </row>
    <row r="2346" spans="1:30" ht="17.100000000000001" customHeight="1">
      <c r="A2346" s="1666"/>
      <c r="B2346" s="3467"/>
      <c r="C2346" s="2327" t="s">
        <v>1136</v>
      </c>
      <c r="D2346" s="2328" t="s">
        <v>1137</v>
      </c>
      <c r="E2346" s="1904">
        <v>187400</v>
      </c>
      <c r="F2346" s="1904">
        <f>H2346</f>
        <v>193000</v>
      </c>
      <c r="G2346" s="1905">
        <f t="shared" si="513"/>
        <v>1.0298826040554963</v>
      </c>
      <c r="H2346" s="1635">
        <f t="shared" si="515"/>
        <v>193000</v>
      </c>
      <c r="AD2346" s="1636">
        <v>193000</v>
      </c>
    </row>
    <row r="2347" spans="1:30" ht="17.100000000000001" customHeight="1" thickBot="1">
      <c r="A2347" s="1666"/>
      <c r="B2347" s="3467"/>
      <c r="C2347" s="2434" t="s">
        <v>997</v>
      </c>
      <c r="D2347" s="2573" t="s">
        <v>998</v>
      </c>
      <c r="E2347" s="2323">
        <v>30000</v>
      </c>
      <c r="F2347" s="1904">
        <f>H2347</f>
        <v>24000</v>
      </c>
      <c r="G2347" s="2324">
        <f t="shared" si="513"/>
        <v>0.8</v>
      </c>
      <c r="H2347" s="1635">
        <f t="shared" si="515"/>
        <v>24000</v>
      </c>
      <c r="AD2347" s="1636">
        <v>24000</v>
      </c>
    </row>
    <row r="2348" spans="1:30" ht="17.100000000000001" hidden="1" customHeight="1">
      <c r="A2348" s="1666"/>
      <c r="B2348" s="1698"/>
      <c r="C2348" s="1960"/>
      <c r="D2348" s="1961"/>
      <c r="E2348" s="2323"/>
      <c r="F2348" s="1904"/>
      <c r="G2348" s="2324"/>
    </row>
    <row r="2349" spans="1:30" ht="17.100000000000001" hidden="1" customHeight="1">
      <c r="A2349" s="1666"/>
      <c r="B2349" s="1698"/>
      <c r="C2349" s="3810" t="s">
        <v>810</v>
      </c>
      <c r="D2349" s="3811"/>
      <c r="E2349" s="2071">
        <f>E2350</f>
        <v>147000</v>
      </c>
      <c r="F2349" s="2071">
        <f>F2350</f>
        <v>0</v>
      </c>
      <c r="G2349" s="2054">
        <f t="shared" si="513"/>
        <v>0</v>
      </c>
      <c r="H2349" s="1635">
        <f t="shared" si="515"/>
        <v>0</v>
      </c>
    </row>
    <row r="2350" spans="1:30" ht="17.100000000000001" hidden="1" customHeight="1">
      <c r="A2350" s="1666"/>
      <c r="B2350" s="1698"/>
      <c r="C2350" s="3486" t="s">
        <v>811</v>
      </c>
      <c r="D2350" s="3557"/>
      <c r="E2350" s="1904">
        <f>E2351+E2352</f>
        <v>147000</v>
      </c>
      <c r="F2350" s="1904">
        <f>F2351+F2352</f>
        <v>0</v>
      </c>
      <c r="G2350" s="1905">
        <f t="shared" si="513"/>
        <v>0</v>
      </c>
      <c r="H2350" s="1635">
        <f t="shared" si="515"/>
        <v>0</v>
      </c>
    </row>
    <row r="2351" spans="1:30" ht="52.5" hidden="1" customHeight="1">
      <c r="A2351" s="1666"/>
      <c r="B2351" s="1698"/>
      <c r="C2351" s="2327" t="s">
        <v>1070</v>
      </c>
      <c r="D2351" s="2490" t="s">
        <v>1071</v>
      </c>
      <c r="E2351" s="2323">
        <v>135000</v>
      </c>
      <c r="F2351" s="2323">
        <f>H2351</f>
        <v>0</v>
      </c>
      <c r="G2351" s="1905">
        <f t="shared" si="513"/>
        <v>0</v>
      </c>
      <c r="H2351" s="1635">
        <f t="shared" si="515"/>
        <v>0</v>
      </c>
    </row>
    <row r="2352" spans="1:30" ht="42.75" hidden="1" customHeight="1" thickBot="1">
      <c r="A2352" s="1666"/>
      <c r="B2352" s="1698"/>
      <c r="C2352" s="2327" t="s">
        <v>938</v>
      </c>
      <c r="D2352" s="2647" t="s">
        <v>939</v>
      </c>
      <c r="E2352" s="1694">
        <v>12000</v>
      </c>
      <c r="F2352" s="1694">
        <f>H2352</f>
        <v>0</v>
      </c>
      <c r="G2352" s="1695">
        <f t="shared" si="513"/>
        <v>0</v>
      </c>
      <c r="H2352" s="1635">
        <f t="shared" si="515"/>
        <v>0</v>
      </c>
    </row>
    <row r="2353" spans="1:30" ht="17.100000000000001" customHeight="1" thickBot="1">
      <c r="A2353" s="1666"/>
      <c r="B2353" s="1734" t="s">
        <v>1235</v>
      </c>
      <c r="C2353" s="1735"/>
      <c r="D2353" s="1736" t="s">
        <v>1236</v>
      </c>
      <c r="E2353" s="1737">
        <f t="shared" ref="E2353:F2353" si="516">E2354+E2359</f>
        <v>7553670</v>
      </c>
      <c r="F2353" s="1737">
        <f t="shared" si="516"/>
        <v>8905406</v>
      </c>
      <c r="G2353" s="1738">
        <f t="shared" si="513"/>
        <v>1.178950894068711</v>
      </c>
      <c r="H2353" s="1635">
        <f t="shared" si="515"/>
        <v>0</v>
      </c>
    </row>
    <row r="2354" spans="1:30" ht="17.100000000000001" customHeight="1">
      <c r="A2354" s="1666"/>
      <c r="B2354" s="3467"/>
      <c r="C2354" s="3472" t="s">
        <v>755</v>
      </c>
      <c r="D2354" s="3472"/>
      <c r="E2354" s="1672">
        <f t="shared" ref="E2354:F2354" si="517">E2355</f>
        <v>7273670</v>
      </c>
      <c r="F2354" s="1672">
        <f t="shared" si="517"/>
        <v>7585406</v>
      </c>
      <c r="G2354" s="1673">
        <f t="shared" si="513"/>
        <v>1.0428581445130174</v>
      </c>
      <c r="H2354" s="1635">
        <f t="shared" si="515"/>
        <v>0</v>
      </c>
    </row>
    <row r="2355" spans="1:30" ht="17.100000000000001" customHeight="1">
      <c r="A2355" s="1666"/>
      <c r="B2355" s="3467"/>
      <c r="C2355" s="3746" t="s">
        <v>857</v>
      </c>
      <c r="D2355" s="3746"/>
      <c r="E2355" s="1904">
        <f>E2356+E2357</f>
        <v>7273670</v>
      </c>
      <c r="F2355" s="1904">
        <f t="shared" ref="F2355" si="518">F2356+F2357</f>
        <v>7585406</v>
      </c>
      <c r="G2355" s="1905">
        <f t="shared" si="513"/>
        <v>1.0428581445130174</v>
      </c>
      <c r="H2355" s="1635">
        <f t="shared" si="515"/>
        <v>0</v>
      </c>
    </row>
    <row r="2356" spans="1:30" ht="17.100000000000001" customHeight="1">
      <c r="A2356" s="1666"/>
      <c r="B2356" s="3467"/>
      <c r="C2356" s="2327" t="s">
        <v>1237</v>
      </c>
      <c r="D2356" s="2328" t="s">
        <v>1238</v>
      </c>
      <c r="E2356" s="1904">
        <v>6123670</v>
      </c>
      <c r="F2356" s="1904">
        <f>H2356</f>
        <v>6585406</v>
      </c>
      <c r="G2356" s="1905">
        <f t="shared" si="513"/>
        <v>1.0754018423592389</v>
      </c>
      <c r="H2356" s="1635">
        <f t="shared" si="515"/>
        <v>6585406</v>
      </c>
      <c r="AD2356" s="1636">
        <v>6585406</v>
      </c>
    </row>
    <row r="2357" spans="1:30" ht="27.75" customHeight="1">
      <c r="A2357" s="1666"/>
      <c r="B2357" s="3467"/>
      <c r="C2357" s="2327" t="s">
        <v>923</v>
      </c>
      <c r="D2357" s="2328" t="s">
        <v>924</v>
      </c>
      <c r="E2357" s="1904">
        <v>1150000</v>
      </c>
      <c r="F2357" s="1904">
        <f>H2357</f>
        <v>1000000</v>
      </c>
      <c r="G2357" s="1905">
        <f t="shared" si="513"/>
        <v>0.86956521739130432</v>
      </c>
      <c r="H2357" s="1635">
        <f t="shared" si="515"/>
        <v>1000000</v>
      </c>
      <c r="AD2357" s="1636">
        <v>1000000</v>
      </c>
    </row>
    <row r="2358" spans="1:30" ht="15">
      <c r="A2358" s="1666"/>
      <c r="B2358" s="1698"/>
      <c r="C2358" s="3795"/>
      <c r="D2358" s="3806"/>
      <c r="E2358" s="1904"/>
      <c r="F2358" s="1904"/>
      <c r="G2358" s="1905"/>
      <c r="H2358" s="1635">
        <f t="shared" si="515"/>
        <v>0</v>
      </c>
    </row>
    <row r="2359" spans="1:30" ht="15">
      <c r="A2359" s="1666"/>
      <c r="B2359" s="1698"/>
      <c r="C2359" s="3751" t="s">
        <v>810</v>
      </c>
      <c r="D2359" s="3807"/>
      <c r="E2359" s="2071">
        <f t="shared" ref="E2359:F2360" si="519">E2360</f>
        <v>280000</v>
      </c>
      <c r="F2359" s="2071">
        <f t="shared" si="519"/>
        <v>1320000</v>
      </c>
      <c r="G2359" s="2054">
        <f t="shared" si="513"/>
        <v>4.7142857142857144</v>
      </c>
      <c r="H2359" s="1635">
        <f t="shared" si="515"/>
        <v>0</v>
      </c>
    </row>
    <row r="2360" spans="1:30" ht="15">
      <c r="A2360" s="1666"/>
      <c r="B2360" s="1698"/>
      <c r="C2360" s="3745" t="s">
        <v>811</v>
      </c>
      <c r="D2360" s="3808"/>
      <c r="E2360" s="1904">
        <f t="shared" si="519"/>
        <v>280000</v>
      </c>
      <c r="F2360" s="1904">
        <f t="shared" si="519"/>
        <v>1320000</v>
      </c>
      <c r="G2360" s="1905">
        <f t="shared" si="513"/>
        <v>4.7142857142857144</v>
      </c>
      <c r="H2360" s="1635">
        <f t="shared" si="515"/>
        <v>0</v>
      </c>
    </row>
    <row r="2361" spans="1:30" ht="42" customHeight="1" thickBot="1">
      <c r="A2361" s="1666"/>
      <c r="B2361" s="1698"/>
      <c r="C2361" s="2648" t="s">
        <v>1006</v>
      </c>
      <c r="D2361" s="2649" t="s">
        <v>1007</v>
      </c>
      <c r="E2361" s="2323">
        <v>280000</v>
      </c>
      <c r="F2361" s="2323">
        <f>H2361</f>
        <v>1320000</v>
      </c>
      <c r="G2361" s="2324">
        <f t="shared" si="513"/>
        <v>4.7142857142857144</v>
      </c>
      <c r="H2361" s="1635">
        <f t="shared" si="515"/>
        <v>1320000</v>
      </c>
      <c r="AD2361" s="1636">
        <v>1320000</v>
      </c>
    </row>
    <row r="2362" spans="1:30" ht="17.100000000000001" customHeight="1" thickBot="1">
      <c r="A2362" s="1666"/>
      <c r="B2362" s="1734" t="s">
        <v>1239</v>
      </c>
      <c r="C2362" s="1735"/>
      <c r="D2362" s="1736" t="s">
        <v>700</v>
      </c>
      <c r="E2362" s="1737">
        <f>E2363+E2368</f>
        <v>7744896</v>
      </c>
      <c r="F2362" s="1737">
        <f>F2363+F2368</f>
        <v>8643006</v>
      </c>
      <c r="G2362" s="1738">
        <f t="shared" si="513"/>
        <v>1.115961531310427</v>
      </c>
      <c r="H2362" s="1635">
        <f t="shared" si="515"/>
        <v>0</v>
      </c>
    </row>
    <row r="2363" spans="1:30" ht="17.100000000000001" customHeight="1">
      <c r="A2363" s="1666"/>
      <c r="B2363" s="3467"/>
      <c r="C2363" s="3472" t="s">
        <v>755</v>
      </c>
      <c r="D2363" s="3472"/>
      <c r="E2363" s="1672">
        <f t="shared" ref="E2363:F2363" si="520">E2364</f>
        <v>7731896</v>
      </c>
      <c r="F2363" s="1672">
        <f t="shared" si="520"/>
        <v>8097006</v>
      </c>
      <c r="G2363" s="1673">
        <f t="shared" si="513"/>
        <v>1.0472212766441762</v>
      </c>
      <c r="H2363" s="1635">
        <f t="shared" si="515"/>
        <v>0</v>
      </c>
    </row>
    <row r="2364" spans="1:30" ht="17.100000000000001" customHeight="1">
      <c r="A2364" s="1666"/>
      <c r="B2364" s="3467"/>
      <c r="C2364" s="3809" t="s">
        <v>857</v>
      </c>
      <c r="D2364" s="3809"/>
      <c r="E2364" s="1904">
        <f t="shared" ref="E2364:F2364" si="521">SUM(E2365:E2366)</f>
        <v>7731896</v>
      </c>
      <c r="F2364" s="1904">
        <f t="shared" si="521"/>
        <v>8097006</v>
      </c>
      <c r="G2364" s="1905">
        <f t="shared" si="513"/>
        <v>1.0472212766441762</v>
      </c>
      <c r="H2364" s="1635">
        <f t="shared" si="515"/>
        <v>0</v>
      </c>
    </row>
    <row r="2365" spans="1:30" ht="17.100000000000001" customHeight="1">
      <c r="A2365" s="1666"/>
      <c r="B2365" s="3467"/>
      <c r="C2365" s="2327" t="s">
        <v>1237</v>
      </c>
      <c r="D2365" s="2328" t="s">
        <v>1238</v>
      </c>
      <c r="E2365" s="1904">
        <v>7388396</v>
      </c>
      <c r="F2365" s="1904">
        <f>H2365</f>
        <v>7947006</v>
      </c>
      <c r="G2365" s="1905">
        <f t="shared" si="513"/>
        <v>1.0756063968417502</v>
      </c>
      <c r="H2365" s="1635">
        <f t="shared" si="515"/>
        <v>7947006</v>
      </c>
      <c r="AD2365" s="1636">
        <v>7947006</v>
      </c>
    </row>
    <row r="2366" spans="1:30" ht="28.5" customHeight="1">
      <c r="A2366" s="1666"/>
      <c r="B2366" s="1678"/>
      <c r="C2366" s="2327" t="s">
        <v>923</v>
      </c>
      <c r="D2366" s="2328" t="s">
        <v>924</v>
      </c>
      <c r="E2366" s="1904">
        <v>343500</v>
      </c>
      <c r="F2366" s="1904">
        <f>H2366</f>
        <v>150000</v>
      </c>
      <c r="G2366" s="1905">
        <f t="shared" si="513"/>
        <v>0.4366812227074236</v>
      </c>
      <c r="H2366" s="1635">
        <f t="shared" si="515"/>
        <v>150000</v>
      </c>
      <c r="AD2366" s="1636">
        <v>150000</v>
      </c>
    </row>
    <row r="2367" spans="1:30" ht="16.5" customHeight="1" thickBot="1">
      <c r="A2367" s="1792"/>
      <c r="B2367" s="3183"/>
      <c r="C2367" s="3789"/>
      <c r="D2367" s="3819"/>
      <c r="E2367" s="1694"/>
      <c r="F2367" s="1694"/>
      <c r="G2367" s="1689"/>
    </row>
    <row r="2368" spans="1:30" ht="15" customHeight="1">
      <c r="A2368" s="1666"/>
      <c r="B2368" s="1678"/>
      <c r="C2368" s="3717" t="s">
        <v>810</v>
      </c>
      <c r="D2368" s="3820"/>
      <c r="E2368" s="3088">
        <f>E2369</f>
        <v>13000</v>
      </c>
      <c r="F2368" s="3088">
        <f>F2369</f>
        <v>546000</v>
      </c>
      <c r="G2368" s="2054">
        <f t="shared" si="513"/>
        <v>42</v>
      </c>
    </row>
    <row r="2369" spans="1:30" ht="16.5" customHeight="1">
      <c r="A2369" s="1666"/>
      <c r="B2369" s="1678"/>
      <c r="C2369" s="3770" t="s">
        <v>811</v>
      </c>
      <c r="D2369" s="3821"/>
      <c r="E2369" s="1904">
        <f>E2370</f>
        <v>13000</v>
      </c>
      <c r="F2369" s="1904">
        <f>F2370</f>
        <v>546000</v>
      </c>
      <c r="G2369" s="1905">
        <f t="shared" si="513"/>
        <v>42</v>
      </c>
    </row>
    <row r="2370" spans="1:30" ht="40.5" customHeight="1" thickBot="1">
      <c r="A2370" s="1666"/>
      <c r="B2370" s="1678"/>
      <c r="C2370" s="2648" t="s">
        <v>1006</v>
      </c>
      <c r="D2370" s="2649" t="s">
        <v>1007</v>
      </c>
      <c r="E2370" s="1904">
        <v>13000</v>
      </c>
      <c r="F2370" s="1904">
        <f>H2370</f>
        <v>546000</v>
      </c>
      <c r="G2370" s="1905">
        <f t="shared" si="513"/>
        <v>42</v>
      </c>
      <c r="H2370" s="1635">
        <f t="shared" si="515"/>
        <v>546000</v>
      </c>
      <c r="AD2370" s="1636">
        <v>546000</v>
      </c>
    </row>
    <row r="2371" spans="1:30" ht="17.100000000000001" customHeight="1" thickBot="1">
      <c r="A2371" s="1666"/>
      <c r="B2371" s="1734" t="s">
        <v>1240</v>
      </c>
      <c r="C2371" s="1735"/>
      <c r="D2371" s="1736" t="s">
        <v>702</v>
      </c>
      <c r="E2371" s="1737">
        <f>E2372+E2378</f>
        <v>19436406</v>
      </c>
      <c r="F2371" s="1737">
        <f t="shared" ref="F2371" si="522">F2372+F2378</f>
        <v>19849760</v>
      </c>
      <c r="G2371" s="1738">
        <f t="shared" si="513"/>
        <v>1.0212669976126245</v>
      </c>
      <c r="H2371" s="1635">
        <f t="shared" si="515"/>
        <v>0</v>
      </c>
    </row>
    <row r="2372" spans="1:30" ht="17.100000000000001" customHeight="1">
      <c r="A2372" s="1666"/>
      <c r="B2372" s="3467"/>
      <c r="C2372" s="3472" t="s">
        <v>755</v>
      </c>
      <c r="D2372" s="3472"/>
      <c r="E2372" s="1672">
        <f t="shared" ref="E2372:F2372" si="523">E2373</f>
        <v>9452863</v>
      </c>
      <c r="F2372" s="1672">
        <f t="shared" si="523"/>
        <v>11670111</v>
      </c>
      <c r="G2372" s="1673">
        <f t="shared" si="513"/>
        <v>1.2345583554950494</v>
      </c>
      <c r="H2372" s="1635">
        <f t="shared" si="515"/>
        <v>0</v>
      </c>
    </row>
    <row r="2373" spans="1:30" ht="17.100000000000001" customHeight="1">
      <c r="A2373" s="1666"/>
      <c r="B2373" s="3467"/>
      <c r="C2373" s="3809" t="s">
        <v>857</v>
      </c>
      <c r="D2373" s="3809"/>
      <c r="E2373" s="1904">
        <f>SUM(E2374:E2376)</f>
        <v>9452863</v>
      </c>
      <c r="F2373" s="1904">
        <f t="shared" ref="F2373" si="524">SUM(F2374:F2376)</f>
        <v>11670111</v>
      </c>
      <c r="G2373" s="1905">
        <f t="shared" si="513"/>
        <v>1.2345583554950494</v>
      </c>
      <c r="H2373" s="1635">
        <f t="shared" si="515"/>
        <v>0</v>
      </c>
    </row>
    <row r="2374" spans="1:30" ht="17.100000000000001" customHeight="1">
      <c r="A2374" s="1666"/>
      <c r="B2374" s="3467"/>
      <c r="C2374" s="2327" t="s">
        <v>1237</v>
      </c>
      <c r="D2374" s="2328" t="s">
        <v>1238</v>
      </c>
      <c r="E2374" s="1904">
        <v>8330845</v>
      </c>
      <c r="F2374" s="1904">
        <f>H2374</f>
        <v>10738909</v>
      </c>
      <c r="G2374" s="1905">
        <f t="shared" si="513"/>
        <v>1.2890539915218684</v>
      </c>
      <c r="H2374" s="1635">
        <f t="shared" si="515"/>
        <v>10738909</v>
      </c>
      <c r="AD2374" s="1636">
        <v>10738909</v>
      </c>
    </row>
    <row r="2375" spans="1:30" ht="30.75" hidden="1" customHeight="1">
      <c r="A2375" s="1666"/>
      <c r="B2375" s="3467"/>
      <c r="C2375" s="2327" t="s">
        <v>394</v>
      </c>
      <c r="D2375" s="2328" t="s">
        <v>978</v>
      </c>
      <c r="E2375" s="1904">
        <v>131589</v>
      </c>
      <c r="F2375" s="1904">
        <f t="shared" ref="F2375:F2376" si="525">H2375</f>
        <v>0</v>
      </c>
      <c r="G2375" s="1905">
        <f t="shared" si="513"/>
        <v>0</v>
      </c>
      <c r="H2375" s="1635">
        <f t="shared" si="515"/>
        <v>0</v>
      </c>
    </row>
    <row r="2376" spans="1:30" ht="24.75" customHeight="1">
      <c r="A2376" s="1666"/>
      <c r="B2376" s="3467"/>
      <c r="C2376" s="2327" t="s">
        <v>923</v>
      </c>
      <c r="D2376" s="2328" t="s">
        <v>924</v>
      </c>
      <c r="E2376" s="1904">
        <v>990429</v>
      </c>
      <c r="F2376" s="1904">
        <f t="shared" si="525"/>
        <v>931202</v>
      </c>
      <c r="G2376" s="1905">
        <f t="shared" si="513"/>
        <v>0.94020066052185469</v>
      </c>
      <c r="H2376" s="1635">
        <f t="shared" si="515"/>
        <v>931202</v>
      </c>
      <c r="AD2376" s="1636">
        <v>931202</v>
      </c>
    </row>
    <row r="2377" spans="1:30" ht="15">
      <c r="A2377" s="1666"/>
      <c r="B2377" s="3467"/>
      <c r="C2377" s="1699"/>
      <c r="D2377" s="1710"/>
      <c r="E2377" s="1711"/>
      <c r="F2377" s="1711"/>
      <c r="G2377" s="1712"/>
      <c r="H2377" s="1635">
        <f t="shared" si="515"/>
        <v>0</v>
      </c>
    </row>
    <row r="2378" spans="1:30" ht="15">
      <c r="A2378" s="1666"/>
      <c r="B2378" s="3467"/>
      <c r="C2378" s="3822" t="s">
        <v>810</v>
      </c>
      <c r="D2378" s="3823"/>
      <c r="E2378" s="2071">
        <f>SUM(E2379)</f>
        <v>9983543</v>
      </c>
      <c r="F2378" s="2071">
        <f t="shared" ref="F2378" si="526">SUM(F2379)</f>
        <v>8179649</v>
      </c>
      <c r="G2378" s="2054">
        <f t="shared" si="513"/>
        <v>0.81931324380533044</v>
      </c>
      <c r="H2378" s="1635">
        <f t="shared" si="515"/>
        <v>0</v>
      </c>
    </row>
    <row r="2379" spans="1:30" ht="15">
      <c r="A2379" s="1666"/>
      <c r="B2379" s="3467"/>
      <c r="C2379" s="3486" t="s">
        <v>811</v>
      </c>
      <c r="D2379" s="3683"/>
      <c r="E2379" s="1749">
        <f>SUM(E2380:E2384)</f>
        <v>9983543</v>
      </c>
      <c r="F2379" s="1749">
        <f>SUM(F2380:F2384)</f>
        <v>8179649</v>
      </c>
      <c r="G2379" s="1750">
        <f t="shared" si="513"/>
        <v>0.81931324380533044</v>
      </c>
      <c r="H2379" s="1635">
        <f t="shared" si="515"/>
        <v>0</v>
      </c>
    </row>
    <row r="2380" spans="1:30" ht="38.25">
      <c r="A2380" s="1666"/>
      <c r="B2380" s="3467"/>
      <c r="C2380" s="2650" t="s">
        <v>1006</v>
      </c>
      <c r="D2380" s="2651" t="s">
        <v>1007</v>
      </c>
      <c r="E2380" s="1904">
        <v>2884300</v>
      </c>
      <c r="F2380" s="1904">
        <f>H2380</f>
        <v>2530200</v>
      </c>
      <c r="G2380" s="1905">
        <f t="shared" si="513"/>
        <v>0.87723191068890194</v>
      </c>
      <c r="H2380" s="1635">
        <f t="shared" si="515"/>
        <v>2530200</v>
      </c>
      <c r="AD2380" s="1636">
        <v>2530200</v>
      </c>
    </row>
    <row r="2381" spans="1:30" ht="40.5" hidden="1" customHeight="1">
      <c r="A2381" s="1666"/>
      <c r="B2381" s="1698"/>
      <c r="C2381" s="1960" t="s">
        <v>938</v>
      </c>
      <c r="D2381" s="2652" t="s">
        <v>939</v>
      </c>
      <c r="E2381" s="1904">
        <v>140000</v>
      </c>
      <c r="F2381" s="1904">
        <f t="shared" ref="F2381:F2384" si="527">H2381</f>
        <v>0</v>
      </c>
      <c r="G2381" s="1689">
        <f t="shared" si="513"/>
        <v>0</v>
      </c>
      <c r="H2381" s="1635">
        <f t="shared" si="515"/>
        <v>0</v>
      </c>
    </row>
    <row r="2382" spans="1:30" ht="47.25" customHeight="1">
      <c r="A2382" s="1666"/>
      <c r="B2382" s="1698"/>
      <c r="C2382" s="2653" t="s">
        <v>1241</v>
      </c>
      <c r="D2382" s="2654" t="s">
        <v>1007</v>
      </c>
      <c r="E2382" s="1904">
        <v>6959243</v>
      </c>
      <c r="F2382" s="1904">
        <f t="shared" si="527"/>
        <v>5475468</v>
      </c>
      <c r="G2382" s="1905">
        <f t="shared" si="513"/>
        <v>0.78679074721201714</v>
      </c>
      <c r="H2382" s="1635">
        <f t="shared" si="515"/>
        <v>5475468</v>
      </c>
      <c r="AD2382" s="1636">
        <v>5475468</v>
      </c>
    </row>
    <row r="2383" spans="1:30" ht="54" customHeight="1">
      <c r="A2383" s="1666"/>
      <c r="B2383" s="1698"/>
      <c r="C2383" s="2655" t="s">
        <v>901</v>
      </c>
      <c r="D2383" s="1707" t="s">
        <v>902</v>
      </c>
      <c r="E2383" s="1904">
        <v>0</v>
      </c>
      <c r="F2383" s="1904">
        <f>H2383</f>
        <v>173981</v>
      </c>
      <c r="G2383" s="2512"/>
      <c r="H2383" s="1635">
        <f t="shared" si="515"/>
        <v>173981</v>
      </c>
      <c r="W2383" s="1636">
        <v>173981</v>
      </c>
    </row>
    <row r="2384" spans="1:30" ht="27" hidden="1" customHeight="1">
      <c r="A2384" s="1666"/>
      <c r="B2384" s="1698"/>
      <c r="C2384" s="2655" t="s">
        <v>705</v>
      </c>
      <c r="D2384" s="2656" t="s">
        <v>1242</v>
      </c>
      <c r="E2384" s="1904">
        <v>0</v>
      </c>
      <c r="F2384" s="1904">
        <f t="shared" si="527"/>
        <v>0</v>
      </c>
      <c r="G2384" s="2512" t="e">
        <f t="shared" si="513"/>
        <v>#DIV/0!</v>
      </c>
      <c r="H2384" s="1635">
        <f t="shared" si="515"/>
        <v>0</v>
      </c>
    </row>
    <row r="2385" spans="1:30" ht="17.25" customHeight="1">
      <c r="A2385" s="1666"/>
      <c r="B2385" s="1698"/>
      <c r="C2385" s="2653"/>
      <c r="D2385" s="2657"/>
      <c r="E2385" s="1904"/>
      <c r="F2385" s="1904"/>
      <c r="G2385" s="2512"/>
      <c r="H2385" s="1635">
        <f t="shared" si="515"/>
        <v>0</v>
      </c>
    </row>
    <row r="2386" spans="1:30" ht="25.5" customHeight="1">
      <c r="A2386" s="1666"/>
      <c r="B2386" s="1698"/>
      <c r="C2386" s="3812" t="s">
        <v>823</v>
      </c>
      <c r="D2386" s="3813"/>
      <c r="E2386" s="1904">
        <f>E2388+E2387</f>
        <v>8156743</v>
      </c>
      <c r="F2386" s="1904">
        <f t="shared" ref="F2386" si="528">F2388+F2387</f>
        <v>6201668</v>
      </c>
      <c r="G2386" s="1905">
        <f t="shared" si="513"/>
        <v>0.76031180582739954</v>
      </c>
      <c r="H2386" s="1635">
        <f t="shared" si="515"/>
        <v>0</v>
      </c>
    </row>
    <row r="2387" spans="1:30" ht="39" customHeight="1">
      <c r="A2387" s="1666"/>
      <c r="B2387" s="1698"/>
      <c r="C2387" s="2351" t="s">
        <v>1006</v>
      </c>
      <c r="D2387" s="2658" t="s">
        <v>1007</v>
      </c>
      <c r="E2387" s="1904">
        <v>1197500</v>
      </c>
      <c r="F2387" s="2659">
        <f>H2387</f>
        <v>726200</v>
      </c>
      <c r="G2387" s="2660">
        <f t="shared" si="513"/>
        <v>0.60643006263048016</v>
      </c>
      <c r="H2387" s="1635">
        <f t="shared" si="515"/>
        <v>726200</v>
      </c>
      <c r="AD2387" s="1636">
        <v>726200</v>
      </c>
    </row>
    <row r="2388" spans="1:30" ht="39" thickBot="1">
      <c r="A2388" s="1666"/>
      <c r="B2388" s="1698"/>
      <c r="C2388" s="2661" t="s">
        <v>1241</v>
      </c>
      <c r="D2388" s="2662" t="s">
        <v>1007</v>
      </c>
      <c r="E2388" s="1694">
        <v>6959243</v>
      </c>
      <c r="F2388" s="2663">
        <f>H2388</f>
        <v>5475468</v>
      </c>
      <c r="G2388" s="1695">
        <f t="shared" si="513"/>
        <v>0.78679074721201714</v>
      </c>
      <c r="H2388" s="1635">
        <f t="shared" si="515"/>
        <v>5475468</v>
      </c>
      <c r="AD2388" s="1636">
        <v>5475468</v>
      </c>
    </row>
    <row r="2389" spans="1:30" ht="17.100000000000001" customHeight="1" thickBot="1">
      <c r="A2389" s="1666"/>
      <c r="B2389" s="1734" t="s">
        <v>1243</v>
      </c>
      <c r="C2389" s="1735"/>
      <c r="D2389" s="1736" t="s">
        <v>1244</v>
      </c>
      <c r="E2389" s="1737">
        <f>E2390+E2396</f>
        <v>725093</v>
      </c>
      <c r="F2389" s="1737">
        <f>F2390+F2396</f>
        <v>807544</v>
      </c>
      <c r="G2389" s="1738">
        <f t="shared" si="513"/>
        <v>1.1137109308736948</v>
      </c>
      <c r="H2389" s="1635">
        <f t="shared" si="515"/>
        <v>0</v>
      </c>
    </row>
    <row r="2390" spans="1:30" ht="17.100000000000001" customHeight="1">
      <c r="A2390" s="1666"/>
      <c r="B2390" s="3467"/>
      <c r="C2390" s="3472" t="s">
        <v>755</v>
      </c>
      <c r="D2390" s="3472"/>
      <c r="E2390" s="1672">
        <f t="shared" ref="E2390:F2390" si="529">E2391</f>
        <v>725093</v>
      </c>
      <c r="F2390" s="1672">
        <f t="shared" si="529"/>
        <v>757544</v>
      </c>
      <c r="G2390" s="1673">
        <f t="shared" si="513"/>
        <v>1.0447542591088315</v>
      </c>
      <c r="H2390" s="1635">
        <f t="shared" si="515"/>
        <v>0</v>
      </c>
    </row>
    <row r="2391" spans="1:30" ht="17.100000000000001" customHeight="1">
      <c r="A2391" s="1666"/>
      <c r="B2391" s="3467"/>
      <c r="C2391" s="3814" t="s">
        <v>857</v>
      </c>
      <c r="D2391" s="3814"/>
      <c r="E2391" s="1904">
        <f t="shared" ref="E2391:F2391" si="530">E2393+E2394</f>
        <v>725093</v>
      </c>
      <c r="F2391" s="1904">
        <f t="shared" si="530"/>
        <v>757544</v>
      </c>
      <c r="G2391" s="1905">
        <f t="shared" si="513"/>
        <v>1.0447542591088315</v>
      </c>
      <c r="H2391" s="1635">
        <f t="shared" si="515"/>
        <v>0</v>
      </c>
    </row>
    <row r="2392" spans="1:30" ht="27" hidden="1" customHeight="1">
      <c r="A2392" s="1666"/>
      <c r="B2392" s="3467"/>
      <c r="C2392" s="2664" t="s">
        <v>394</v>
      </c>
      <c r="D2392" s="2665" t="s">
        <v>978</v>
      </c>
      <c r="E2392" s="1904">
        <v>0</v>
      </c>
      <c r="F2392" s="1904">
        <f>H2392</f>
        <v>0</v>
      </c>
      <c r="G2392" s="1905" t="e">
        <f t="shared" si="513"/>
        <v>#DIV/0!</v>
      </c>
      <c r="H2392" s="1635">
        <f t="shared" si="515"/>
        <v>0</v>
      </c>
    </row>
    <row r="2393" spans="1:30" ht="17.100000000000001" customHeight="1">
      <c r="A2393" s="1666"/>
      <c r="B2393" s="3467"/>
      <c r="C2393" s="2666" t="s">
        <v>1237</v>
      </c>
      <c r="D2393" s="2667" t="s">
        <v>1238</v>
      </c>
      <c r="E2393" s="1904">
        <v>675325</v>
      </c>
      <c r="F2393" s="1904">
        <f t="shared" ref="F2393:F2394" si="531">H2393</f>
        <v>732312</v>
      </c>
      <c r="G2393" s="1905">
        <f t="shared" si="513"/>
        <v>1.0843845555843483</v>
      </c>
      <c r="H2393" s="1635">
        <f t="shared" si="515"/>
        <v>732312</v>
      </c>
      <c r="AD2393" s="1636">
        <v>732312</v>
      </c>
    </row>
    <row r="2394" spans="1:30" ht="27" customHeight="1">
      <c r="A2394" s="1666"/>
      <c r="B2394" s="3467"/>
      <c r="C2394" s="2668" t="s">
        <v>923</v>
      </c>
      <c r="D2394" s="2669" t="s">
        <v>924</v>
      </c>
      <c r="E2394" s="1904">
        <v>49768</v>
      </c>
      <c r="F2394" s="1904">
        <f t="shared" si="531"/>
        <v>25232</v>
      </c>
      <c r="G2394" s="1905">
        <f t="shared" si="513"/>
        <v>0.50699244494454265</v>
      </c>
      <c r="H2394" s="1635">
        <f t="shared" si="515"/>
        <v>25232</v>
      </c>
      <c r="AD2394" s="1636">
        <v>25232</v>
      </c>
    </row>
    <row r="2395" spans="1:30" ht="27" customHeight="1">
      <c r="A2395" s="1666"/>
      <c r="B2395" s="2249"/>
      <c r="C2395" s="3815"/>
      <c r="D2395" s="3816"/>
      <c r="E2395" s="1904"/>
      <c r="F2395" s="1904"/>
      <c r="G2395" s="1689"/>
    </row>
    <row r="2396" spans="1:30" ht="13.5" customHeight="1">
      <c r="A2396" s="1666"/>
      <c r="B2396" s="1698"/>
      <c r="C2396" s="3817" t="s">
        <v>810</v>
      </c>
      <c r="D2396" s="3818"/>
      <c r="E2396" s="2071">
        <f>E2397</f>
        <v>0</v>
      </c>
      <c r="F2396" s="1672">
        <f>F2397</f>
        <v>50000</v>
      </c>
      <c r="G2396" s="2054"/>
    </row>
    <row r="2397" spans="1:30" ht="15" customHeight="1">
      <c r="A2397" s="1666"/>
      <c r="B2397" s="1698"/>
      <c r="C2397" s="3486" t="s">
        <v>811</v>
      </c>
      <c r="D2397" s="3683"/>
      <c r="E2397" s="1904">
        <f>E2398</f>
        <v>0</v>
      </c>
      <c r="F2397" s="1904">
        <f>F2398</f>
        <v>50000</v>
      </c>
      <c r="G2397" s="1905"/>
      <c r="H2397" s="1635">
        <f t="shared" si="515"/>
        <v>0</v>
      </c>
    </row>
    <row r="2398" spans="1:30" ht="38.25" customHeight="1" thickBot="1">
      <c r="A2398" s="1666"/>
      <c r="B2398" s="1698"/>
      <c r="C2398" s="1706" t="s">
        <v>1006</v>
      </c>
      <c r="D2398" s="2670" t="s">
        <v>1007</v>
      </c>
      <c r="E2398" s="1904">
        <v>0</v>
      </c>
      <c r="F2398" s="1904">
        <f>H2398</f>
        <v>50000</v>
      </c>
      <c r="G2398" s="1904"/>
      <c r="H2398" s="1635">
        <f t="shared" si="515"/>
        <v>50000</v>
      </c>
      <c r="AD2398" s="1636">
        <v>50000</v>
      </c>
    </row>
    <row r="2399" spans="1:30" ht="17.100000000000001" customHeight="1" thickBot="1">
      <c r="A2399" s="1666"/>
      <c r="B2399" s="1734" t="s">
        <v>1245</v>
      </c>
      <c r="C2399" s="1735"/>
      <c r="D2399" s="1736" t="s">
        <v>704</v>
      </c>
      <c r="E2399" s="1737">
        <f t="shared" ref="E2399:F2399" si="532">E2400+E2405</f>
        <v>2505398</v>
      </c>
      <c r="F2399" s="1737">
        <f t="shared" si="532"/>
        <v>3111346</v>
      </c>
      <c r="G2399" s="1738">
        <f t="shared" si="513"/>
        <v>1.2418569824035941</v>
      </c>
      <c r="H2399" s="1635">
        <f t="shared" si="515"/>
        <v>0</v>
      </c>
    </row>
    <row r="2400" spans="1:30" ht="17.100000000000001" customHeight="1">
      <c r="A2400" s="3182"/>
      <c r="B2400" s="3700"/>
      <c r="C2400" s="3487" t="s">
        <v>755</v>
      </c>
      <c r="D2400" s="3487"/>
      <c r="E2400" s="1805">
        <f t="shared" ref="E2400:F2400" si="533">E2401</f>
        <v>1975398</v>
      </c>
      <c r="F2400" s="1805">
        <f t="shared" si="533"/>
        <v>2036346</v>
      </c>
      <c r="G2400" s="1816">
        <f t="shared" si="513"/>
        <v>1.03085352926347</v>
      </c>
      <c r="H2400" s="1635">
        <f t="shared" si="515"/>
        <v>0</v>
      </c>
    </row>
    <row r="2401" spans="1:30" ht="17.100000000000001" customHeight="1">
      <c r="A2401" s="3182"/>
      <c r="B2401" s="3467"/>
      <c r="C2401" s="3828" t="s">
        <v>857</v>
      </c>
      <c r="D2401" s="3828"/>
      <c r="E2401" s="2756">
        <f t="shared" ref="E2401:F2401" si="534">SUM(E2402:E2403)</f>
        <v>1975398</v>
      </c>
      <c r="F2401" s="2756">
        <f t="shared" si="534"/>
        <v>2036346</v>
      </c>
      <c r="G2401" s="1905">
        <f t="shared" si="513"/>
        <v>1.03085352926347</v>
      </c>
      <c r="H2401" s="1635">
        <f t="shared" si="515"/>
        <v>0</v>
      </c>
    </row>
    <row r="2402" spans="1:30" ht="17.100000000000001" customHeight="1">
      <c r="A2402" s="3182"/>
      <c r="B2402" s="3467"/>
      <c r="C2402" s="3079" t="s">
        <v>1237</v>
      </c>
      <c r="D2402" s="3080" t="s">
        <v>1238</v>
      </c>
      <c r="E2402" s="2756">
        <v>1919898</v>
      </c>
      <c r="F2402" s="2756">
        <f>H2402</f>
        <v>2001346</v>
      </c>
      <c r="G2402" s="1905">
        <f t="shared" si="513"/>
        <v>1.0424230870598334</v>
      </c>
      <c r="H2402" s="1635">
        <f t="shared" si="515"/>
        <v>2001346</v>
      </c>
      <c r="AD2402" s="1636">
        <v>2001346</v>
      </c>
    </row>
    <row r="2403" spans="1:30" ht="25.5">
      <c r="A2403" s="3182"/>
      <c r="B2403" s="3467"/>
      <c r="C2403" s="3104" t="s">
        <v>923</v>
      </c>
      <c r="D2403" s="3103" t="s">
        <v>924</v>
      </c>
      <c r="E2403" s="3115">
        <v>55500</v>
      </c>
      <c r="F2403" s="3116">
        <f>H2403</f>
        <v>35000</v>
      </c>
      <c r="G2403" s="2512">
        <f t="shared" si="513"/>
        <v>0.63063063063063063</v>
      </c>
      <c r="H2403" s="1635">
        <f t="shared" si="515"/>
        <v>35000</v>
      </c>
      <c r="AD2403" s="1636">
        <v>35000</v>
      </c>
    </row>
    <row r="2404" spans="1:30">
      <c r="A2404" s="3182"/>
      <c r="B2404" s="3467"/>
      <c r="C2404" s="3117"/>
      <c r="D2404" s="3118"/>
      <c r="E2404" s="3119"/>
      <c r="F2404" s="3119"/>
      <c r="G2404" s="2070"/>
      <c r="H2404" s="1635">
        <f t="shared" si="515"/>
        <v>0</v>
      </c>
    </row>
    <row r="2405" spans="1:30" ht="16.5" customHeight="1">
      <c r="A2405" s="3182"/>
      <c r="B2405" s="3467"/>
      <c r="C2405" s="3717" t="s">
        <v>810</v>
      </c>
      <c r="D2405" s="3717"/>
      <c r="E2405" s="3088">
        <f t="shared" ref="E2405:F2406" si="535">E2406</f>
        <v>530000</v>
      </c>
      <c r="F2405" s="3088">
        <f t="shared" si="535"/>
        <v>1075000</v>
      </c>
      <c r="G2405" s="1673">
        <f t="shared" si="513"/>
        <v>2.0283018867924527</v>
      </c>
      <c r="H2405" s="1635">
        <f t="shared" si="515"/>
        <v>0</v>
      </c>
    </row>
    <row r="2406" spans="1:30" ht="15.75" customHeight="1">
      <c r="A2406" s="3182"/>
      <c r="B2406" s="3467"/>
      <c r="C2406" s="3829" t="s">
        <v>937</v>
      </c>
      <c r="D2406" s="3829"/>
      <c r="E2406" s="3116">
        <f t="shared" si="535"/>
        <v>530000</v>
      </c>
      <c r="F2406" s="3116">
        <f t="shared" si="535"/>
        <v>1075000</v>
      </c>
      <c r="G2406" s="1905">
        <f t="shared" si="513"/>
        <v>2.0283018867924527</v>
      </c>
      <c r="H2406" s="1635">
        <f t="shared" si="515"/>
        <v>0</v>
      </c>
    </row>
    <row r="2407" spans="1:30" ht="39" thickBot="1">
      <c r="A2407" s="1792"/>
      <c r="B2407" s="3468"/>
      <c r="C2407" s="3120" t="s">
        <v>1006</v>
      </c>
      <c r="D2407" s="3121" t="s">
        <v>1007</v>
      </c>
      <c r="E2407" s="3098">
        <v>530000</v>
      </c>
      <c r="F2407" s="3098">
        <f>H2407</f>
        <v>1075000</v>
      </c>
      <c r="G2407" s="1695">
        <f t="shared" si="513"/>
        <v>2.0283018867924527</v>
      </c>
      <c r="H2407" s="1635">
        <f t="shared" si="515"/>
        <v>1075000</v>
      </c>
      <c r="AD2407" s="1636">
        <v>1075000</v>
      </c>
    </row>
    <row r="2408" spans="1:30" ht="17.100000000000001" customHeight="1" thickBot="1">
      <c r="A2408" s="1666"/>
      <c r="B2408" s="2289" t="s">
        <v>283</v>
      </c>
      <c r="C2408" s="1892"/>
      <c r="D2408" s="3050" t="s">
        <v>284</v>
      </c>
      <c r="E2408" s="2248">
        <f>SUM(E2409+E2414)</f>
        <v>9778289</v>
      </c>
      <c r="F2408" s="2248">
        <f t="shared" ref="F2408" si="536">SUM(F2409+F2414)</f>
        <v>10132618</v>
      </c>
      <c r="G2408" s="1738">
        <f t="shared" si="513"/>
        <v>1.0362362985998881</v>
      </c>
      <c r="H2408" s="1635">
        <f t="shared" si="515"/>
        <v>0</v>
      </c>
    </row>
    <row r="2409" spans="1:30" ht="17.100000000000001" customHeight="1">
      <c r="A2409" s="1666"/>
      <c r="B2409" s="3467"/>
      <c r="C2409" s="3472" t="s">
        <v>755</v>
      </c>
      <c r="D2409" s="3472"/>
      <c r="E2409" s="1672">
        <f t="shared" ref="E2409:F2409" si="537">E2410</f>
        <v>9627289</v>
      </c>
      <c r="F2409" s="1672">
        <f t="shared" si="537"/>
        <v>9897618</v>
      </c>
      <c r="G2409" s="1673">
        <f t="shared" si="513"/>
        <v>1.0280794520658931</v>
      </c>
      <c r="H2409" s="1635">
        <f t="shared" si="515"/>
        <v>0</v>
      </c>
    </row>
    <row r="2410" spans="1:30" ht="17.100000000000001" customHeight="1">
      <c r="A2410" s="1666"/>
      <c r="B2410" s="3467"/>
      <c r="C2410" s="3824" t="s">
        <v>857</v>
      </c>
      <c r="D2410" s="3824"/>
      <c r="E2410" s="1904">
        <f t="shared" ref="E2410:F2410" si="538">SUM(E2411:E2412)</f>
        <v>9627289</v>
      </c>
      <c r="F2410" s="1904">
        <f t="shared" si="538"/>
        <v>9897618</v>
      </c>
      <c r="G2410" s="1905">
        <f t="shared" si="513"/>
        <v>1.0280794520658931</v>
      </c>
      <c r="H2410" s="1635">
        <f t="shared" si="515"/>
        <v>0</v>
      </c>
    </row>
    <row r="2411" spans="1:30" ht="17.100000000000001" customHeight="1">
      <c r="A2411" s="1666"/>
      <c r="B2411" s="3467"/>
      <c r="C2411" s="2672" t="s">
        <v>1237</v>
      </c>
      <c r="D2411" s="2673" t="s">
        <v>1238</v>
      </c>
      <c r="E2411" s="1904">
        <v>9358789</v>
      </c>
      <c r="F2411" s="1904">
        <f>H2411</f>
        <v>9787618</v>
      </c>
      <c r="G2411" s="1905">
        <f t="shared" si="513"/>
        <v>1.0458209924382311</v>
      </c>
      <c r="H2411" s="1635">
        <f t="shared" si="515"/>
        <v>9787618</v>
      </c>
      <c r="AD2411" s="1636">
        <v>9787618</v>
      </c>
    </row>
    <row r="2412" spans="1:30" ht="25.5">
      <c r="A2412" s="1666"/>
      <c r="B2412" s="3467"/>
      <c r="C2412" s="2674" t="s">
        <v>923</v>
      </c>
      <c r="D2412" s="2675" t="s">
        <v>924</v>
      </c>
      <c r="E2412" s="2676">
        <v>268500</v>
      </c>
      <c r="F2412" s="1904">
        <f>H2412</f>
        <v>110000</v>
      </c>
      <c r="G2412" s="2677">
        <f t="shared" si="513"/>
        <v>0.40968342644320299</v>
      </c>
      <c r="H2412" s="1635">
        <f t="shared" si="515"/>
        <v>110000</v>
      </c>
      <c r="AD2412" s="1636">
        <v>110000</v>
      </c>
    </row>
    <row r="2413" spans="1:30">
      <c r="A2413" s="1666"/>
      <c r="B2413" s="1698"/>
      <c r="C2413" s="3825"/>
      <c r="D2413" s="3826"/>
      <c r="E2413" s="2678"/>
      <c r="F2413" s="2678"/>
      <c r="G2413" s="2679"/>
      <c r="H2413" s="1635">
        <f t="shared" si="515"/>
        <v>0</v>
      </c>
    </row>
    <row r="2414" spans="1:30" ht="16.5" customHeight="1">
      <c r="A2414" s="1666"/>
      <c r="B2414" s="1698"/>
      <c r="C2414" s="3497" t="s">
        <v>810</v>
      </c>
      <c r="D2414" s="3497"/>
      <c r="E2414" s="1672">
        <f>E2415</f>
        <v>151000</v>
      </c>
      <c r="F2414" s="1672">
        <f t="shared" ref="F2414" si="539">F2415</f>
        <v>235000</v>
      </c>
      <c r="G2414" s="1673">
        <f t="shared" si="513"/>
        <v>1.5562913907284768</v>
      </c>
      <c r="H2414" s="1635">
        <f t="shared" si="515"/>
        <v>0</v>
      </c>
    </row>
    <row r="2415" spans="1:30" ht="16.5" customHeight="1">
      <c r="A2415" s="1666"/>
      <c r="B2415" s="1698"/>
      <c r="C2415" s="3827" t="s">
        <v>937</v>
      </c>
      <c r="D2415" s="3827"/>
      <c r="E2415" s="2678">
        <f>E2416+E2417</f>
        <v>151000</v>
      </c>
      <c r="F2415" s="2678">
        <f>F2416+F2417</f>
        <v>235000</v>
      </c>
      <c r="G2415" s="2679">
        <f t="shared" si="513"/>
        <v>1.5562913907284768</v>
      </c>
      <c r="H2415" s="1635">
        <f t="shared" si="515"/>
        <v>0</v>
      </c>
    </row>
    <row r="2416" spans="1:30" ht="39" thickBot="1">
      <c r="A2416" s="1666"/>
      <c r="B2416" s="1698"/>
      <c r="C2416" s="2674" t="s">
        <v>1006</v>
      </c>
      <c r="D2416" s="2675" t="s">
        <v>1007</v>
      </c>
      <c r="E2416" s="2676">
        <v>136000</v>
      </c>
      <c r="F2416" s="2676">
        <f>H2416</f>
        <v>235000</v>
      </c>
      <c r="G2416" s="2680">
        <f t="shared" si="513"/>
        <v>1.7279411764705883</v>
      </c>
      <c r="H2416" s="1635">
        <f t="shared" si="515"/>
        <v>235000</v>
      </c>
      <c r="AD2416" s="1636">
        <v>235000</v>
      </c>
    </row>
    <row r="2417" spans="1:30" ht="42.75" hidden="1" customHeight="1" thickBot="1">
      <c r="A2417" s="1666"/>
      <c r="B2417" s="1698"/>
      <c r="C2417" s="2681" t="s">
        <v>938</v>
      </c>
      <c r="D2417" s="2682" t="s">
        <v>939</v>
      </c>
      <c r="E2417" s="2683">
        <v>15000</v>
      </c>
      <c r="F2417" s="2683">
        <f>H2417</f>
        <v>0</v>
      </c>
      <c r="G2417" s="2684">
        <f t="shared" si="513"/>
        <v>0</v>
      </c>
      <c r="H2417" s="1635">
        <f t="shared" si="515"/>
        <v>0</v>
      </c>
    </row>
    <row r="2418" spans="1:30" ht="28.5" customHeight="1" thickBot="1">
      <c r="A2418" s="1666"/>
      <c r="B2418" s="1734" t="s">
        <v>1246</v>
      </c>
      <c r="C2418" s="1735"/>
      <c r="D2418" s="1736" t="s">
        <v>710</v>
      </c>
      <c r="E2418" s="1737">
        <f t="shared" ref="E2418:F2418" si="540">E2419+E2425</f>
        <v>38187712</v>
      </c>
      <c r="F2418" s="1737">
        <f t="shared" si="540"/>
        <v>36193012</v>
      </c>
      <c r="G2418" s="1738">
        <f t="shared" si="513"/>
        <v>0.94776592009492477</v>
      </c>
      <c r="H2418" s="1635">
        <f t="shared" si="515"/>
        <v>0</v>
      </c>
    </row>
    <row r="2419" spans="1:30" ht="17.100000000000001" customHeight="1">
      <c r="A2419" s="1666"/>
      <c r="B2419" s="3467"/>
      <c r="C2419" s="3472" t="s">
        <v>755</v>
      </c>
      <c r="D2419" s="3472"/>
      <c r="E2419" s="1805">
        <f t="shared" ref="E2419:F2419" si="541">E2420</f>
        <v>31120131</v>
      </c>
      <c r="F2419" s="1672">
        <f t="shared" si="541"/>
        <v>30678967</v>
      </c>
      <c r="G2419" s="1673">
        <f t="shared" si="513"/>
        <v>0.98582383859502387</v>
      </c>
      <c r="H2419" s="1635">
        <f t="shared" si="515"/>
        <v>0</v>
      </c>
    </row>
    <row r="2420" spans="1:30" ht="17.100000000000001" customHeight="1">
      <c r="A2420" s="1666"/>
      <c r="B2420" s="3467"/>
      <c r="C2420" s="3830" t="s">
        <v>857</v>
      </c>
      <c r="D2420" s="3830"/>
      <c r="E2420" s="1904">
        <f t="shared" ref="E2420:F2420" si="542">SUM(E2421:E2423)</f>
        <v>31120131</v>
      </c>
      <c r="F2420" s="1904">
        <f t="shared" si="542"/>
        <v>30678967</v>
      </c>
      <c r="G2420" s="1905">
        <f t="shared" ref="G2420:G2499" si="543">F2420/E2420</f>
        <v>0.98582383859502387</v>
      </c>
      <c r="H2420" s="1635">
        <f t="shared" si="515"/>
        <v>0</v>
      </c>
    </row>
    <row r="2421" spans="1:30" ht="17.100000000000001" customHeight="1">
      <c r="A2421" s="1666"/>
      <c r="B2421" s="3467"/>
      <c r="C2421" s="2685" t="s">
        <v>1237</v>
      </c>
      <c r="D2421" s="2686" t="s">
        <v>1238</v>
      </c>
      <c r="E2421" s="1904">
        <v>28219266</v>
      </c>
      <c r="F2421" s="1904">
        <f>H2421</f>
        <v>30150806</v>
      </c>
      <c r="G2421" s="1905">
        <f t="shared" si="543"/>
        <v>1.0684475634483193</v>
      </c>
      <c r="H2421" s="1635">
        <f t="shared" ref="H2421:H2484" si="544">SUM(I2421:AE2421)</f>
        <v>30150806</v>
      </c>
      <c r="AD2421" s="1636">
        <v>30150806</v>
      </c>
    </row>
    <row r="2422" spans="1:30" ht="29.25" hidden="1" customHeight="1">
      <c r="A2422" s="1666"/>
      <c r="B2422" s="1698"/>
      <c r="C2422" s="2685" t="s">
        <v>394</v>
      </c>
      <c r="D2422" s="2686" t="s">
        <v>978</v>
      </c>
      <c r="E2422" s="1904">
        <v>150000</v>
      </c>
      <c r="F2422" s="1904">
        <f t="shared" ref="F2422:F2423" si="545">H2422</f>
        <v>0</v>
      </c>
      <c r="G2422" s="1905">
        <f t="shared" si="543"/>
        <v>0</v>
      </c>
      <c r="H2422" s="1635">
        <f t="shared" si="544"/>
        <v>0</v>
      </c>
      <c r="AD2422" s="1636">
        <v>0</v>
      </c>
    </row>
    <row r="2423" spans="1:30" ht="24.75" customHeight="1">
      <c r="A2423" s="1666"/>
      <c r="B2423" s="1678"/>
      <c r="C2423" s="2685" t="s">
        <v>923</v>
      </c>
      <c r="D2423" s="2686" t="s">
        <v>924</v>
      </c>
      <c r="E2423" s="1904">
        <v>2750865</v>
      </c>
      <c r="F2423" s="1904">
        <f t="shared" si="545"/>
        <v>528161</v>
      </c>
      <c r="G2423" s="1905">
        <f t="shared" si="543"/>
        <v>0.19199815330814127</v>
      </c>
      <c r="H2423" s="1635">
        <f t="shared" si="544"/>
        <v>528161</v>
      </c>
      <c r="AD2423" s="1636">
        <v>528161</v>
      </c>
    </row>
    <row r="2424" spans="1:30" ht="17.100000000000001" customHeight="1">
      <c r="A2424" s="1666"/>
      <c r="B2424" s="1678"/>
      <c r="C2424" s="1699"/>
      <c r="D2424" s="1699"/>
      <c r="E2424" s="1683"/>
      <c r="F2424" s="1683"/>
      <c r="G2424" s="1684"/>
      <c r="H2424" s="1635">
        <f t="shared" si="544"/>
        <v>0</v>
      </c>
    </row>
    <row r="2425" spans="1:30" ht="17.100000000000001" customHeight="1">
      <c r="A2425" s="1666"/>
      <c r="B2425" s="1678"/>
      <c r="C2425" s="3831" t="s">
        <v>810</v>
      </c>
      <c r="D2425" s="3831"/>
      <c r="E2425" s="2071">
        <f>E2426</f>
        <v>7067581</v>
      </c>
      <c r="F2425" s="2071">
        <f t="shared" ref="F2425" si="546">F2426</f>
        <v>5514045</v>
      </c>
      <c r="G2425" s="2054">
        <f t="shared" si="543"/>
        <v>0.7801884407126003</v>
      </c>
      <c r="H2425" s="1635">
        <f t="shared" si="544"/>
        <v>0</v>
      </c>
    </row>
    <row r="2426" spans="1:30" ht="17.100000000000001" customHeight="1">
      <c r="A2426" s="1666"/>
      <c r="B2426" s="1678"/>
      <c r="C2426" s="3832" t="s">
        <v>811</v>
      </c>
      <c r="D2426" s="3833"/>
      <c r="E2426" s="1904">
        <f>SUM(E2427:E2429)</f>
        <v>7067581</v>
      </c>
      <c r="F2426" s="1904">
        <f>SUM(F2427:F2429)</f>
        <v>5514045</v>
      </c>
      <c r="G2426" s="1905">
        <f t="shared" si="543"/>
        <v>0.7801884407126003</v>
      </c>
      <c r="H2426" s="1635">
        <f t="shared" si="544"/>
        <v>0</v>
      </c>
    </row>
    <row r="2427" spans="1:30" ht="74.25" hidden="1" customHeight="1">
      <c r="A2427" s="1666"/>
      <c r="B2427" s="1678"/>
      <c r="C2427" s="1968" t="s">
        <v>900</v>
      </c>
      <c r="D2427" s="2073" t="s">
        <v>1233</v>
      </c>
      <c r="E2427" s="1904">
        <v>145030</v>
      </c>
      <c r="F2427" s="1904">
        <f>H2427</f>
        <v>0</v>
      </c>
      <c r="G2427" s="1905">
        <f t="shared" si="543"/>
        <v>0</v>
      </c>
      <c r="H2427" s="1635">
        <f t="shared" si="544"/>
        <v>0</v>
      </c>
    </row>
    <row r="2428" spans="1:30" ht="41.25" customHeight="1" thickBot="1">
      <c r="A2428" s="1666"/>
      <c r="B2428" s="1678"/>
      <c r="C2428" s="2687" t="s">
        <v>1006</v>
      </c>
      <c r="D2428" s="1703" t="s">
        <v>1007</v>
      </c>
      <c r="E2428" s="1904">
        <v>6922551</v>
      </c>
      <c r="F2428" s="1904">
        <f t="shared" ref="F2428:F2429" si="547">H2428</f>
        <v>5514045</v>
      </c>
      <c r="G2428" s="1905">
        <f t="shared" si="543"/>
        <v>0.79653367667497144</v>
      </c>
      <c r="H2428" s="1635">
        <f t="shared" si="544"/>
        <v>5514045</v>
      </c>
      <c r="AD2428" s="1636">
        <v>5514045</v>
      </c>
    </row>
    <row r="2429" spans="1:30" ht="54.75" hidden="1" customHeight="1" thickBot="1">
      <c r="A2429" s="1666"/>
      <c r="B2429" s="1678"/>
      <c r="C2429" s="1706" t="s">
        <v>901</v>
      </c>
      <c r="D2429" s="1707" t="s">
        <v>902</v>
      </c>
      <c r="E2429" s="1764">
        <v>0</v>
      </c>
      <c r="F2429" s="1904">
        <f t="shared" si="547"/>
        <v>0</v>
      </c>
      <c r="G2429" s="1905" t="e">
        <f t="shared" si="543"/>
        <v>#DIV/0!</v>
      </c>
      <c r="H2429" s="1635">
        <f t="shared" si="544"/>
        <v>0</v>
      </c>
    </row>
    <row r="2430" spans="1:30" ht="17.100000000000001" customHeight="1" thickBot="1">
      <c r="A2430" s="1666"/>
      <c r="B2430" s="1734" t="s">
        <v>119</v>
      </c>
      <c r="C2430" s="1893"/>
      <c r="D2430" s="1736" t="s">
        <v>1247</v>
      </c>
      <c r="E2430" s="1737">
        <f>SUM(E2431+E2444)</f>
        <v>4276350</v>
      </c>
      <c r="F2430" s="1737">
        <f>SUM(F2431+F2444)</f>
        <v>4000000</v>
      </c>
      <c r="G2430" s="1738">
        <f t="shared" si="543"/>
        <v>0.93537713236755649</v>
      </c>
      <c r="H2430" s="1635">
        <f t="shared" si="544"/>
        <v>0</v>
      </c>
    </row>
    <row r="2431" spans="1:30" ht="17.100000000000001" customHeight="1">
      <c r="A2431" s="1666"/>
      <c r="B2431" s="3467"/>
      <c r="C2431" s="3472" t="s">
        <v>755</v>
      </c>
      <c r="D2431" s="3472"/>
      <c r="E2431" s="1672">
        <f>E2432+E2436+E2441</f>
        <v>4200000</v>
      </c>
      <c r="F2431" s="1672">
        <f>F2432+F2436+F2441</f>
        <v>4000000</v>
      </c>
      <c r="G2431" s="1673">
        <f t="shared" si="543"/>
        <v>0.95238095238095233</v>
      </c>
      <c r="H2431" s="1635">
        <f t="shared" si="544"/>
        <v>0</v>
      </c>
    </row>
    <row r="2432" spans="1:30" ht="17.100000000000001" hidden="1" customHeight="1">
      <c r="A2432" s="1666"/>
      <c r="B2432" s="3467"/>
      <c r="C2432" s="3834" t="s">
        <v>756</v>
      </c>
      <c r="D2432" s="3834"/>
      <c r="E2432" s="1749">
        <f>E2433</f>
        <v>0</v>
      </c>
      <c r="F2432" s="1749">
        <f t="shared" ref="F2432:F2433" si="548">F2433</f>
        <v>0</v>
      </c>
      <c r="G2432" s="1750" t="e">
        <f t="shared" si="543"/>
        <v>#DIV/0!</v>
      </c>
      <c r="H2432" s="1635">
        <f t="shared" si="544"/>
        <v>0</v>
      </c>
    </row>
    <row r="2433" spans="1:30" ht="17.100000000000001" hidden="1" customHeight="1">
      <c r="A2433" s="1666"/>
      <c r="B2433" s="3467"/>
      <c r="C2433" s="3835" t="s">
        <v>770</v>
      </c>
      <c r="D2433" s="3835"/>
      <c r="E2433" s="1749">
        <f>E2434</f>
        <v>0</v>
      </c>
      <c r="F2433" s="1749">
        <f t="shared" si="548"/>
        <v>0</v>
      </c>
      <c r="G2433" s="1750" t="e">
        <f t="shared" si="543"/>
        <v>#DIV/0!</v>
      </c>
      <c r="H2433" s="1635">
        <f t="shared" si="544"/>
        <v>0</v>
      </c>
    </row>
    <row r="2434" spans="1:30" ht="30" hidden="1" customHeight="1">
      <c r="A2434" s="1666"/>
      <c r="B2434" s="3467"/>
      <c r="C2434" s="2688" t="s">
        <v>1113</v>
      </c>
      <c r="D2434" s="1873" t="s">
        <v>1114</v>
      </c>
      <c r="E2434" s="1749">
        <v>0</v>
      </c>
      <c r="F2434" s="1749">
        <f>H2434</f>
        <v>0</v>
      </c>
      <c r="G2434" s="1750" t="e">
        <f t="shared" si="543"/>
        <v>#DIV/0!</v>
      </c>
      <c r="H2434" s="1635">
        <f t="shared" si="544"/>
        <v>0</v>
      </c>
    </row>
    <row r="2435" spans="1:30" ht="17.100000000000001" hidden="1" customHeight="1">
      <c r="A2435" s="1666"/>
      <c r="B2435" s="3467"/>
      <c r="C2435" s="1872"/>
      <c r="D2435" s="1821"/>
      <c r="E2435" s="1672"/>
      <c r="F2435" s="1672"/>
      <c r="G2435" s="1673"/>
      <c r="H2435" s="1635">
        <f t="shared" si="544"/>
        <v>0</v>
      </c>
    </row>
    <row r="2436" spans="1:30" ht="17.100000000000001" customHeight="1">
      <c r="A2436" s="1666"/>
      <c r="B2436" s="3467"/>
      <c r="C2436" s="3830" t="s">
        <v>857</v>
      </c>
      <c r="D2436" s="3830"/>
      <c r="E2436" s="1904">
        <f>SUM(E2437:E2439)</f>
        <v>4200000</v>
      </c>
      <c r="F2436" s="1904">
        <f t="shared" ref="F2436" si="549">SUM(F2437:F2439)</f>
        <v>4000000</v>
      </c>
      <c r="G2436" s="1905">
        <f t="shared" si="543"/>
        <v>0.95238095238095233</v>
      </c>
      <c r="H2436" s="1635">
        <f t="shared" si="544"/>
        <v>0</v>
      </c>
    </row>
    <row r="2437" spans="1:30" ht="28.5" hidden="1" customHeight="1">
      <c r="A2437" s="1666"/>
      <c r="B2437" s="1698"/>
      <c r="C2437" s="2689" t="s">
        <v>394</v>
      </c>
      <c r="D2437" s="2690" t="s">
        <v>914</v>
      </c>
      <c r="E2437" s="1904"/>
      <c r="F2437" s="1904">
        <f>H2437</f>
        <v>0</v>
      </c>
      <c r="G2437" s="1905" t="e">
        <f t="shared" si="543"/>
        <v>#DIV/0!</v>
      </c>
      <c r="H2437" s="1635">
        <f t="shared" si="544"/>
        <v>0</v>
      </c>
    </row>
    <row r="2438" spans="1:30" ht="40.5" customHeight="1" thickBot="1">
      <c r="A2438" s="1666"/>
      <c r="B2438" s="1678"/>
      <c r="C2438" s="2685" t="s">
        <v>1248</v>
      </c>
      <c r="D2438" s="2686" t="s">
        <v>1249</v>
      </c>
      <c r="E2438" s="1904">
        <v>3530000</v>
      </c>
      <c r="F2438" s="1904">
        <f t="shared" ref="F2438:F2439" si="550">H2438</f>
        <v>4000000</v>
      </c>
      <c r="G2438" s="1905">
        <f t="shared" si="543"/>
        <v>1.1331444759206799</v>
      </c>
      <c r="H2438" s="1635">
        <f t="shared" si="544"/>
        <v>4000000</v>
      </c>
      <c r="AD2438" s="1636">
        <v>4000000</v>
      </c>
    </row>
    <row r="2439" spans="1:30" ht="49.5" hidden="1" customHeight="1">
      <c r="A2439" s="1666"/>
      <c r="B2439" s="1678"/>
      <c r="C2439" s="1706" t="s">
        <v>1250</v>
      </c>
      <c r="D2439" s="1707" t="s">
        <v>1251</v>
      </c>
      <c r="E2439" s="1688">
        <v>670000</v>
      </c>
      <c r="F2439" s="1904">
        <f t="shared" si="550"/>
        <v>0</v>
      </c>
      <c r="G2439" s="1689">
        <f t="shared" si="543"/>
        <v>0</v>
      </c>
      <c r="H2439" s="1635">
        <f t="shared" si="544"/>
        <v>0</v>
      </c>
    </row>
    <row r="2440" spans="1:30" ht="17.25" hidden="1" customHeight="1">
      <c r="A2440" s="1666"/>
      <c r="B2440" s="1678"/>
      <c r="C2440" s="2585"/>
      <c r="D2440" s="2586"/>
      <c r="E2440" s="2299"/>
      <c r="F2440" s="2586"/>
      <c r="G2440" s="2299"/>
      <c r="H2440" s="1635">
        <f t="shared" si="544"/>
        <v>0</v>
      </c>
    </row>
    <row r="2441" spans="1:30" ht="16.5" hidden="1" customHeight="1">
      <c r="A2441" s="1666"/>
      <c r="B2441" s="1678"/>
      <c r="C2441" s="3780" t="s">
        <v>807</v>
      </c>
      <c r="D2441" s="3836"/>
      <c r="E2441" s="1749">
        <f>E2442</f>
        <v>0</v>
      </c>
      <c r="F2441" s="1904">
        <f>F2442</f>
        <v>0</v>
      </c>
      <c r="G2441" s="1905" t="e">
        <f>F2441/E2441</f>
        <v>#DIV/0!</v>
      </c>
      <c r="H2441" s="1635">
        <f t="shared" si="544"/>
        <v>0</v>
      </c>
    </row>
    <row r="2442" spans="1:30" ht="19.5" hidden="1" customHeight="1">
      <c r="A2442" s="1666"/>
      <c r="B2442" s="1678"/>
      <c r="C2442" s="1719" t="s">
        <v>1136</v>
      </c>
      <c r="D2442" s="1720" t="s">
        <v>1137</v>
      </c>
      <c r="E2442" s="1688">
        <v>0</v>
      </c>
      <c r="F2442" s="1688">
        <f>H2442</f>
        <v>0</v>
      </c>
      <c r="G2442" s="2691" t="e">
        <f>F2442/E2442</f>
        <v>#DIV/0!</v>
      </c>
      <c r="H2442" s="1635">
        <f t="shared" si="544"/>
        <v>0</v>
      </c>
    </row>
    <row r="2443" spans="1:30" ht="18.75" hidden="1" customHeight="1">
      <c r="A2443" s="1666"/>
      <c r="B2443" s="1678"/>
      <c r="C2443" s="3837"/>
      <c r="D2443" s="3838"/>
      <c r="E2443" s="1904"/>
      <c r="F2443" s="1904"/>
      <c r="G2443" s="1905"/>
      <c r="H2443" s="1635">
        <f t="shared" si="544"/>
        <v>0</v>
      </c>
    </row>
    <row r="2444" spans="1:30" ht="19.5" hidden="1" customHeight="1">
      <c r="A2444" s="1666"/>
      <c r="B2444" s="1678"/>
      <c r="C2444" s="3497" t="s">
        <v>810</v>
      </c>
      <c r="D2444" s="3497"/>
      <c r="E2444" s="1749">
        <f>E2445</f>
        <v>76350</v>
      </c>
      <c r="F2444" s="1749">
        <f>F2445</f>
        <v>0</v>
      </c>
      <c r="G2444" s="1689">
        <f t="shared" ref="G2444:G2447" si="551">F2444/E2444</f>
        <v>0</v>
      </c>
      <c r="H2444" s="1635">
        <f t="shared" si="544"/>
        <v>0</v>
      </c>
    </row>
    <row r="2445" spans="1:30" ht="17.25" hidden="1" customHeight="1">
      <c r="A2445" s="1666"/>
      <c r="B2445" s="1678"/>
      <c r="C2445" s="3839" t="s">
        <v>811</v>
      </c>
      <c r="D2445" s="3839"/>
      <c r="E2445" s="2692">
        <f>E2446</f>
        <v>76350</v>
      </c>
      <c r="F2445" s="2692">
        <f>F2446</f>
        <v>0</v>
      </c>
      <c r="G2445" s="2691">
        <f t="shared" si="551"/>
        <v>0</v>
      </c>
      <c r="H2445" s="1635">
        <f t="shared" si="544"/>
        <v>0</v>
      </c>
    </row>
    <row r="2446" spans="1:30" ht="54" hidden="1" customHeight="1" thickBot="1">
      <c r="A2446" s="1666"/>
      <c r="B2446" s="1678"/>
      <c r="C2446" s="1706" t="s">
        <v>901</v>
      </c>
      <c r="D2446" s="1707" t="s">
        <v>902</v>
      </c>
      <c r="E2446" s="1694">
        <v>76350</v>
      </c>
      <c r="F2446" s="1694">
        <f>H2446</f>
        <v>0</v>
      </c>
      <c r="G2446" s="2691">
        <f t="shared" si="551"/>
        <v>0</v>
      </c>
      <c r="H2446" s="1635">
        <f t="shared" si="544"/>
        <v>0</v>
      </c>
    </row>
    <row r="2447" spans="1:30" ht="17.100000000000001" customHeight="1" thickBot="1">
      <c r="A2447" s="1666"/>
      <c r="B2447" s="1734" t="s">
        <v>1252</v>
      </c>
      <c r="C2447" s="1735"/>
      <c r="D2447" s="1736" t="s">
        <v>11</v>
      </c>
      <c r="E2447" s="1737">
        <f>E2448+E2486</f>
        <v>2252623</v>
      </c>
      <c r="F2447" s="1737">
        <f>F2448+F2486</f>
        <v>2672601</v>
      </c>
      <c r="G2447" s="2693">
        <f t="shared" si="551"/>
        <v>1.1864395418141429</v>
      </c>
      <c r="H2447" s="1635">
        <f t="shared" si="544"/>
        <v>0</v>
      </c>
    </row>
    <row r="2448" spans="1:30" ht="17.100000000000001" customHeight="1">
      <c r="A2448" s="1666"/>
      <c r="B2448" s="3840"/>
      <c r="C2448" s="3497" t="s">
        <v>755</v>
      </c>
      <c r="D2448" s="3497"/>
      <c r="E2448" s="1672">
        <f>E2449+E2464+E2459</f>
        <v>1084300</v>
      </c>
      <c r="F2448" s="1672">
        <f t="shared" ref="F2448" si="552">F2449+F2464+F2459</f>
        <v>1186750</v>
      </c>
      <c r="G2448" s="1673">
        <f t="shared" si="543"/>
        <v>1.094484921147284</v>
      </c>
      <c r="H2448" s="1635">
        <f t="shared" si="544"/>
        <v>0</v>
      </c>
    </row>
    <row r="2449" spans="1:30" ht="17.100000000000001" customHeight="1">
      <c r="A2449" s="1666"/>
      <c r="B2449" s="3840"/>
      <c r="C2449" s="3830" t="s">
        <v>756</v>
      </c>
      <c r="D2449" s="3830"/>
      <c r="E2449" s="1904">
        <f t="shared" ref="E2449:F2449" si="553">SUM(E2450,E2455)</f>
        <v>966300</v>
      </c>
      <c r="F2449" s="1904">
        <f t="shared" si="553"/>
        <v>1091800</v>
      </c>
      <c r="G2449" s="1905">
        <f t="shared" si="543"/>
        <v>1.1298768498395944</v>
      </c>
      <c r="H2449" s="1635">
        <f t="shared" si="544"/>
        <v>0</v>
      </c>
    </row>
    <row r="2450" spans="1:30" ht="17.100000000000001" customHeight="1">
      <c r="A2450" s="1666"/>
      <c r="B2450" s="3840"/>
      <c r="C2450" s="3771" t="s">
        <v>757</v>
      </c>
      <c r="D2450" s="3771"/>
      <c r="E2450" s="1904">
        <f t="shared" ref="E2450:F2450" si="554">SUM(E2451:E2453)</f>
        <v>172500</v>
      </c>
      <c r="F2450" s="1904">
        <f t="shared" si="554"/>
        <v>162300</v>
      </c>
      <c r="G2450" s="1905">
        <f t="shared" si="543"/>
        <v>0.94086956521739129</v>
      </c>
      <c r="H2450" s="1635">
        <f t="shared" si="544"/>
        <v>0</v>
      </c>
    </row>
    <row r="2451" spans="1:30" ht="17.100000000000001" customHeight="1">
      <c r="A2451" s="1666"/>
      <c r="B2451" s="3840"/>
      <c r="C2451" s="2685" t="s">
        <v>762</v>
      </c>
      <c r="D2451" s="2686" t="s">
        <v>763</v>
      </c>
      <c r="E2451" s="1904">
        <v>11877</v>
      </c>
      <c r="F2451" s="1904">
        <f>H2451</f>
        <v>11224</v>
      </c>
      <c r="G2451" s="1905">
        <f t="shared" si="543"/>
        <v>0.94501978614128146</v>
      </c>
      <c r="H2451" s="1635">
        <f t="shared" si="544"/>
        <v>11224</v>
      </c>
      <c r="AD2451" s="1636">
        <v>11224</v>
      </c>
    </row>
    <row r="2452" spans="1:30" ht="26.25" customHeight="1">
      <c r="A2452" s="1666"/>
      <c r="B2452" s="3840"/>
      <c r="C2452" s="2685" t="s">
        <v>764</v>
      </c>
      <c r="D2452" s="2686" t="s">
        <v>1440</v>
      </c>
      <c r="E2452" s="1904">
        <v>1196</v>
      </c>
      <c r="F2452" s="1904">
        <f t="shared" ref="F2452:F2453" si="555">H2452</f>
        <v>1149</v>
      </c>
      <c r="G2452" s="1905">
        <f t="shared" si="543"/>
        <v>0.96070234113712372</v>
      </c>
      <c r="H2452" s="1635">
        <f t="shared" si="544"/>
        <v>1149</v>
      </c>
      <c r="AD2452" s="1636">
        <v>1149</v>
      </c>
    </row>
    <row r="2453" spans="1:30" ht="17.100000000000001" customHeight="1">
      <c r="A2453" s="1666"/>
      <c r="B2453" s="3840"/>
      <c r="C2453" s="2685" t="s">
        <v>766</v>
      </c>
      <c r="D2453" s="2686" t="s">
        <v>767</v>
      </c>
      <c r="E2453" s="1904">
        <f>15000+144427</f>
        <v>159427</v>
      </c>
      <c r="F2453" s="1904">
        <f t="shared" si="555"/>
        <v>149927</v>
      </c>
      <c r="G2453" s="1905">
        <f t="shared" si="543"/>
        <v>0.94041159903905858</v>
      </c>
      <c r="H2453" s="1635">
        <f t="shared" si="544"/>
        <v>149927</v>
      </c>
      <c r="Z2453" s="1637">
        <v>15000</v>
      </c>
      <c r="AD2453" s="1636">
        <v>134927</v>
      </c>
    </row>
    <row r="2454" spans="1:30" ht="17.100000000000001" customHeight="1">
      <c r="A2454" s="1666"/>
      <c r="B2454" s="3840"/>
      <c r="C2454" s="2690"/>
      <c r="D2454" s="2690"/>
      <c r="E2454" s="1904"/>
      <c r="F2454" s="1904"/>
      <c r="G2454" s="1905"/>
      <c r="H2454" s="1635">
        <f t="shared" si="544"/>
        <v>0</v>
      </c>
    </row>
    <row r="2455" spans="1:30" ht="17.100000000000001" customHeight="1">
      <c r="A2455" s="1666"/>
      <c r="B2455" s="3840"/>
      <c r="C2455" s="3841" t="s">
        <v>770</v>
      </c>
      <c r="D2455" s="3841"/>
      <c r="E2455" s="1904">
        <f t="shared" ref="E2455:F2455" si="556">SUM(E2456:E2457)</f>
        <v>793800</v>
      </c>
      <c r="F2455" s="1904">
        <f t="shared" si="556"/>
        <v>929500</v>
      </c>
      <c r="G2455" s="1905">
        <f t="shared" si="543"/>
        <v>1.1709498614260518</v>
      </c>
      <c r="H2455" s="1635">
        <f t="shared" si="544"/>
        <v>0</v>
      </c>
    </row>
    <row r="2456" spans="1:30" ht="17.100000000000001" customHeight="1">
      <c r="A2456" s="1666"/>
      <c r="B2456" s="3840"/>
      <c r="C2456" s="2685" t="s">
        <v>773</v>
      </c>
      <c r="D2456" s="2686" t="s">
        <v>774</v>
      </c>
      <c r="E2456" s="1904">
        <f>12000+7000</f>
        <v>19000</v>
      </c>
      <c r="F2456" s="1904">
        <f>H2456</f>
        <v>19000</v>
      </c>
      <c r="G2456" s="1905">
        <f t="shared" si="543"/>
        <v>1</v>
      </c>
      <c r="H2456" s="1635">
        <f t="shared" si="544"/>
        <v>19000</v>
      </c>
      <c r="Z2456" s="1637">
        <v>12000</v>
      </c>
      <c r="AD2456" s="1636">
        <v>7000</v>
      </c>
    </row>
    <row r="2457" spans="1:30" ht="17.100000000000001" customHeight="1">
      <c r="A2457" s="1666"/>
      <c r="B2457" s="3840"/>
      <c r="C2457" s="2685" t="s">
        <v>783</v>
      </c>
      <c r="D2457" s="2686" t="s">
        <v>784</v>
      </c>
      <c r="E2457" s="1904">
        <f>8000+766800</f>
        <v>774800</v>
      </c>
      <c r="F2457" s="1904">
        <f>H2457</f>
        <v>910500</v>
      </c>
      <c r="G2457" s="1905">
        <f t="shared" si="543"/>
        <v>1.1751419721218379</v>
      </c>
      <c r="H2457" s="1635">
        <f t="shared" si="544"/>
        <v>910500</v>
      </c>
      <c r="Z2457" s="1637">
        <v>8000</v>
      </c>
      <c r="AD2457" s="1636">
        <v>902500</v>
      </c>
    </row>
    <row r="2458" spans="1:30" ht="17.100000000000001" hidden="1" customHeight="1">
      <c r="A2458" s="1666"/>
      <c r="B2458" s="2694"/>
      <c r="C2458" s="2695"/>
      <c r="D2458" s="2696"/>
      <c r="E2458" s="1904"/>
      <c r="F2458" s="1904"/>
      <c r="G2458" s="1905"/>
      <c r="H2458" s="1635">
        <f t="shared" si="544"/>
        <v>0</v>
      </c>
    </row>
    <row r="2459" spans="1:30" ht="17.100000000000001" hidden="1" customHeight="1">
      <c r="A2459" s="1666"/>
      <c r="B2459" s="2694"/>
      <c r="C2459" s="3830" t="s">
        <v>857</v>
      </c>
      <c r="D2459" s="3843"/>
      <c r="E2459" s="1904">
        <f>SUM(E2460:E2462)</f>
        <v>106000</v>
      </c>
      <c r="F2459" s="1904">
        <f>SUM(F2460:F2462)</f>
        <v>0</v>
      </c>
      <c r="G2459" s="1905">
        <f t="shared" si="543"/>
        <v>0</v>
      </c>
      <c r="H2459" s="1635">
        <f t="shared" si="544"/>
        <v>0</v>
      </c>
    </row>
    <row r="2460" spans="1:30" ht="40.5" hidden="1" customHeight="1">
      <c r="A2460" s="1666"/>
      <c r="B2460" s="2694"/>
      <c r="C2460" s="2697" t="s">
        <v>275</v>
      </c>
      <c r="D2460" s="2698" t="s">
        <v>1253</v>
      </c>
      <c r="E2460" s="1904"/>
      <c r="F2460" s="1904">
        <f>H2460</f>
        <v>0</v>
      </c>
      <c r="G2460" s="1905" t="e">
        <f t="shared" si="543"/>
        <v>#DIV/0!</v>
      </c>
      <c r="H2460" s="1635">
        <f t="shared" si="544"/>
        <v>0</v>
      </c>
    </row>
    <row r="2461" spans="1:30" ht="52.5" hidden="1" customHeight="1">
      <c r="A2461" s="1666"/>
      <c r="B2461" s="2694"/>
      <c r="C2461" s="2685" t="s">
        <v>409</v>
      </c>
      <c r="D2461" s="2699" t="s">
        <v>876</v>
      </c>
      <c r="E2461" s="1904">
        <v>37000</v>
      </c>
      <c r="F2461" s="1904">
        <f t="shared" ref="F2461:F2462" si="557">H2461</f>
        <v>0</v>
      </c>
      <c r="G2461" s="1905">
        <f t="shared" si="543"/>
        <v>0</v>
      </c>
      <c r="H2461" s="1635">
        <f t="shared" si="544"/>
        <v>0</v>
      </c>
    </row>
    <row r="2462" spans="1:30" ht="35.25" hidden="1" customHeight="1">
      <c r="A2462" s="1666"/>
      <c r="B2462" s="2694"/>
      <c r="C2462" s="2685" t="s">
        <v>394</v>
      </c>
      <c r="D2462" s="2686" t="s">
        <v>978</v>
      </c>
      <c r="E2462" s="1904">
        <v>69000</v>
      </c>
      <c r="F2462" s="1904">
        <f t="shared" si="557"/>
        <v>0</v>
      </c>
      <c r="G2462" s="1905">
        <f t="shared" si="543"/>
        <v>0</v>
      </c>
      <c r="H2462" s="1635">
        <f t="shared" si="544"/>
        <v>0</v>
      </c>
    </row>
    <row r="2463" spans="1:30" ht="17.100000000000001" customHeight="1">
      <c r="A2463" s="1666"/>
      <c r="B2463" s="2694"/>
      <c r="C2463" s="2695"/>
      <c r="D2463" s="2696"/>
      <c r="E2463" s="1904"/>
      <c r="F2463" s="1904"/>
      <c r="G2463" s="1905"/>
      <c r="H2463" s="1635">
        <f t="shared" si="544"/>
        <v>0</v>
      </c>
    </row>
    <row r="2464" spans="1:30" ht="17.100000000000001" customHeight="1">
      <c r="A2464" s="1666"/>
      <c r="B2464" s="2694"/>
      <c r="C2464" s="3830" t="s">
        <v>825</v>
      </c>
      <c r="D2464" s="3830"/>
      <c r="E2464" s="1904">
        <f>SUM(E2465:E2484)</f>
        <v>12000</v>
      </c>
      <c r="F2464" s="1904">
        <f t="shared" ref="F2464" si="558">SUM(F2465:F2484)</f>
        <v>94950</v>
      </c>
      <c r="G2464" s="1905">
        <f t="shared" si="543"/>
        <v>7.9124999999999996</v>
      </c>
      <c r="H2464" s="1635">
        <f t="shared" si="544"/>
        <v>0</v>
      </c>
    </row>
    <row r="2465" spans="1:30" ht="17.100000000000001" hidden="1" customHeight="1">
      <c r="A2465" s="1666"/>
      <c r="B2465" s="2694"/>
      <c r="C2465" s="2685" t="s">
        <v>1020</v>
      </c>
      <c r="D2465" s="2584" t="s">
        <v>1021</v>
      </c>
      <c r="E2465" s="1904">
        <v>0</v>
      </c>
      <c r="F2465" s="1904">
        <f>H2465</f>
        <v>0</v>
      </c>
      <c r="G2465" s="1905" t="e">
        <f t="shared" si="543"/>
        <v>#DIV/0!</v>
      </c>
      <c r="H2465" s="1635">
        <f t="shared" si="544"/>
        <v>0</v>
      </c>
    </row>
    <row r="2466" spans="1:30" ht="17.100000000000001" hidden="1" customHeight="1">
      <c r="A2466" s="1666"/>
      <c r="B2466" s="2694"/>
      <c r="C2466" s="2685" t="s">
        <v>1022</v>
      </c>
      <c r="D2466" s="2584" t="s">
        <v>1021</v>
      </c>
      <c r="E2466" s="1904">
        <v>0</v>
      </c>
      <c r="F2466" s="1904">
        <f t="shared" ref="F2466:F2484" si="559">H2466</f>
        <v>0</v>
      </c>
      <c r="G2466" s="1905" t="e">
        <f t="shared" si="543"/>
        <v>#DIV/0!</v>
      </c>
      <c r="H2466" s="1635">
        <f t="shared" si="544"/>
        <v>0</v>
      </c>
    </row>
    <row r="2467" spans="1:30" ht="17.100000000000001" customHeight="1">
      <c r="A2467" s="1666"/>
      <c r="B2467" s="2694"/>
      <c r="C2467" s="2685" t="s">
        <v>828</v>
      </c>
      <c r="D2467" s="2686" t="s">
        <v>759</v>
      </c>
      <c r="E2467" s="1904">
        <v>1937</v>
      </c>
      <c r="F2467" s="1904">
        <f t="shared" si="559"/>
        <v>50150</v>
      </c>
      <c r="G2467" s="1905">
        <f t="shared" si="543"/>
        <v>25.890552400619516</v>
      </c>
      <c r="H2467" s="1635">
        <f t="shared" si="544"/>
        <v>50150</v>
      </c>
      <c r="AD2467" s="1636">
        <v>50150</v>
      </c>
    </row>
    <row r="2468" spans="1:30" ht="17.100000000000001" customHeight="1">
      <c r="A2468" s="1666"/>
      <c r="B2468" s="2694"/>
      <c r="C2468" s="2685" t="s">
        <v>829</v>
      </c>
      <c r="D2468" s="2686" t="s">
        <v>759</v>
      </c>
      <c r="E2468" s="1904">
        <v>341</v>
      </c>
      <c r="F2468" s="1904">
        <f t="shared" si="559"/>
        <v>8850</v>
      </c>
      <c r="G2468" s="1905">
        <f t="shared" si="543"/>
        <v>25.953079178885631</v>
      </c>
      <c r="H2468" s="1635">
        <f t="shared" si="544"/>
        <v>8850</v>
      </c>
      <c r="AD2468" s="1636">
        <v>8850</v>
      </c>
    </row>
    <row r="2469" spans="1:30" ht="17.100000000000001" hidden="1" customHeight="1">
      <c r="A2469" s="1666"/>
      <c r="B2469" s="2694"/>
      <c r="C2469" s="2685" t="s">
        <v>830</v>
      </c>
      <c r="D2469" s="2686" t="s">
        <v>761</v>
      </c>
      <c r="E2469" s="1904"/>
      <c r="F2469" s="1904">
        <f t="shared" si="559"/>
        <v>0</v>
      </c>
      <c r="G2469" s="1905" t="e">
        <f t="shared" si="543"/>
        <v>#DIV/0!</v>
      </c>
      <c r="H2469" s="1635">
        <f t="shared" si="544"/>
        <v>0</v>
      </c>
    </row>
    <row r="2470" spans="1:30" ht="17.100000000000001" hidden="1" customHeight="1">
      <c r="A2470" s="1666"/>
      <c r="B2470" s="2694"/>
      <c r="C2470" s="2685" t="s">
        <v>831</v>
      </c>
      <c r="D2470" s="2686" t="s">
        <v>761</v>
      </c>
      <c r="E2470" s="1904"/>
      <c r="F2470" s="1904">
        <f t="shared" si="559"/>
        <v>0</v>
      </c>
      <c r="G2470" s="1905" t="e">
        <f t="shared" si="543"/>
        <v>#DIV/0!</v>
      </c>
      <c r="H2470" s="1635">
        <f t="shared" si="544"/>
        <v>0</v>
      </c>
    </row>
    <row r="2471" spans="1:30" ht="17.100000000000001" customHeight="1">
      <c r="A2471" s="1666"/>
      <c r="B2471" s="2694"/>
      <c r="C2471" s="2685" t="s">
        <v>832</v>
      </c>
      <c r="D2471" s="2686" t="s">
        <v>763</v>
      </c>
      <c r="E2471" s="1904">
        <v>332</v>
      </c>
      <c r="F2471" s="1904">
        <f t="shared" si="559"/>
        <v>8092</v>
      </c>
      <c r="G2471" s="1905">
        <f t="shared" si="543"/>
        <v>24.373493975903614</v>
      </c>
      <c r="H2471" s="1635">
        <f t="shared" si="544"/>
        <v>8092</v>
      </c>
      <c r="AD2471" s="1636">
        <v>8092</v>
      </c>
    </row>
    <row r="2472" spans="1:30" ht="17.100000000000001" customHeight="1">
      <c r="A2472" s="1666"/>
      <c r="B2472" s="2694"/>
      <c r="C2472" s="2685" t="s">
        <v>833</v>
      </c>
      <c r="D2472" s="2686" t="s">
        <v>763</v>
      </c>
      <c r="E2472" s="1904">
        <v>59</v>
      </c>
      <c r="F2472" s="1904">
        <f t="shared" si="559"/>
        <v>1428</v>
      </c>
      <c r="G2472" s="1905">
        <f t="shared" si="543"/>
        <v>24.203389830508474</v>
      </c>
      <c r="H2472" s="1635">
        <f t="shared" si="544"/>
        <v>1428</v>
      </c>
      <c r="AD2472" s="1636">
        <v>1428</v>
      </c>
    </row>
    <row r="2473" spans="1:30" ht="26.25" customHeight="1">
      <c r="A2473" s="1666"/>
      <c r="B2473" s="2694"/>
      <c r="C2473" s="2685" t="s">
        <v>834</v>
      </c>
      <c r="D2473" s="2686" t="s">
        <v>1440</v>
      </c>
      <c r="E2473" s="1904">
        <v>48</v>
      </c>
      <c r="F2473" s="1904">
        <f t="shared" si="559"/>
        <v>1190</v>
      </c>
      <c r="G2473" s="1905">
        <f t="shared" si="543"/>
        <v>24.791666666666668</v>
      </c>
      <c r="H2473" s="1635">
        <f t="shared" si="544"/>
        <v>1190</v>
      </c>
      <c r="AD2473" s="1636">
        <v>1190</v>
      </c>
    </row>
    <row r="2474" spans="1:30" ht="25.5" customHeight="1">
      <c r="A2474" s="1666"/>
      <c r="B2474" s="2694"/>
      <c r="C2474" s="2685" t="s">
        <v>835</v>
      </c>
      <c r="D2474" s="2686" t="s">
        <v>1440</v>
      </c>
      <c r="E2474" s="1904">
        <v>9</v>
      </c>
      <c r="F2474" s="1904">
        <f t="shared" si="559"/>
        <v>210</v>
      </c>
      <c r="G2474" s="1905">
        <f t="shared" si="543"/>
        <v>23.333333333333332</v>
      </c>
      <c r="H2474" s="1635">
        <f t="shared" si="544"/>
        <v>210</v>
      </c>
      <c r="AD2474" s="1636">
        <v>210</v>
      </c>
    </row>
    <row r="2475" spans="1:30" ht="17.100000000000001" customHeight="1">
      <c r="A2475" s="1666"/>
      <c r="B2475" s="2694"/>
      <c r="C2475" s="2685" t="s">
        <v>836</v>
      </c>
      <c r="D2475" s="2686" t="s">
        <v>767</v>
      </c>
      <c r="E2475" s="1904">
        <v>0</v>
      </c>
      <c r="F2475" s="1904">
        <f t="shared" si="559"/>
        <v>11628</v>
      </c>
      <c r="G2475" s="1905"/>
      <c r="H2475" s="1635">
        <f t="shared" si="544"/>
        <v>11628</v>
      </c>
      <c r="AD2475" s="1636">
        <v>11628</v>
      </c>
    </row>
    <row r="2476" spans="1:30" ht="17.100000000000001" customHeight="1">
      <c r="A2476" s="1666"/>
      <c r="B2476" s="2694"/>
      <c r="C2476" s="2685" t="s">
        <v>837</v>
      </c>
      <c r="D2476" s="2686" t="s">
        <v>767</v>
      </c>
      <c r="E2476" s="1904">
        <v>0</v>
      </c>
      <c r="F2476" s="1904">
        <f t="shared" si="559"/>
        <v>2052</v>
      </c>
      <c r="G2476" s="1905"/>
      <c r="H2476" s="1635">
        <f t="shared" si="544"/>
        <v>2052</v>
      </c>
      <c r="AD2476" s="1636">
        <v>2052</v>
      </c>
    </row>
    <row r="2477" spans="1:30" ht="17.100000000000001" customHeight="1">
      <c r="A2477" s="1666"/>
      <c r="B2477" s="2694"/>
      <c r="C2477" s="2685" t="s">
        <v>841</v>
      </c>
      <c r="D2477" s="2686" t="s">
        <v>774</v>
      </c>
      <c r="E2477" s="1904">
        <v>347</v>
      </c>
      <c r="F2477" s="1904">
        <f t="shared" si="559"/>
        <v>9066</v>
      </c>
      <c r="G2477" s="1905">
        <f t="shared" si="543"/>
        <v>26.126801152737752</v>
      </c>
      <c r="H2477" s="1635">
        <f t="shared" si="544"/>
        <v>9066</v>
      </c>
      <c r="AD2477" s="1636">
        <v>9066</v>
      </c>
    </row>
    <row r="2478" spans="1:30" ht="17.100000000000001" customHeight="1" thickBot="1">
      <c r="A2478" s="1792"/>
      <c r="B2478" s="3122"/>
      <c r="C2478" s="3081" t="s">
        <v>842</v>
      </c>
      <c r="D2478" s="3082" t="s">
        <v>774</v>
      </c>
      <c r="E2478" s="1694">
        <v>61</v>
      </c>
      <c r="F2478" s="1694">
        <f t="shared" si="559"/>
        <v>1600</v>
      </c>
      <c r="G2478" s="1905">
        <f t="shared" si="543"/>
        <v>26.229508196721312</v>
      </c>
      <c r="H2478" s="1635">
        <f t="shared" si="544"/>
        <v>1600</v>
      </c>
      <c r="AD2478" s="1636">
        <v>1600</v>
      </c>
    </row>
    <row r="2479" spans="1:30" ht="17.100000000000001" hidden="1" customHeight="1">
      <c r="A2479" s="1666"/>
      <c r="B2479" s="2694"/>
      <c r="C2479" s="3076" t="s">
        <v>845</v>
      </c>
      <c r="D2479" s="3077" t="s">
        <v>784</v>
      </c>
      <c r="E2479" s="3078">
        <v>5653</v>
      </c>
      <c r="F2479" s="3078">
        <f t="shared" si="559"/>
        <v>0</v>
      </c>
      <c r="G2479" s="1905">
        <f t="shared" si="543"/>
        <v>0</v>
      </c>
      <c r="H2479" s="1635">
        <f t="shared" si="544"/>
        <v>0</v>
      </c>
      <c r="AD2479" s="1636">
        <v>0</v>
      </c>
    </row>
    <row r="2480" spans="1:30" ht="17.100000000000001" hidden="1" customHeight="1">
      <c r="A2480" s="1666"/>
      <c r="B2480" s="2694"/>
      <c r="C2480" s="2685" t="s">
        <v>846</v>
      </c>
      <c r="D2480" s="2686" t="s">
        <v>784</v>
      </c>
      <c r="E2480" s="1904">
        <v>998</v>
      </c>
      <c r="F2480" s="1904">
        <f t="shared" si="559"/>
        <v>0</v>
      </c>
      <c r="G2480" s="1905">
        <f t="shared" si="543"/>
        <v>0</v>
      </c>
      <c r="H2480" s="1635">
        <f t="shared" si="544"/>
        <v>0</v>
      </c>
      <c r="AD2480" s="1636">
        <v>0</v>
      </c>
    </row>
    <row r="2481" spans="1:30" ht="17.100000000000001" customHeight="1">
      <c r="A2481" s="1666"/>
      <c r="B2481" s="2694"/>
      <c r="C2481" s="2685" t="s">
        <v>849</v>
      </c>
      <c r="D2481" s="2686" t="s">
        <v>792</v>
      </c>
      <c r="E2481" s="1904">
        <v>1883</v>
      </c>
      <c r="F2481" s="1904">
        <f t="shared" si="559"/>
        <v>581</v>
      </c>
      <c r="G2481" s="1905">
        <f t="shared" si="543"/>
        <v>0.30855018587360594</v>
      </c>
      <c r="H2481" s="1635">
        <f t="shared" si="544"/>
        <v>581</v>
      </c>
      <c r="AD2481" s="1636">
        <v>581</v>
      </c>
    </row>
    <row r="2482" spans="1:30" ht="17.100000000000001" customHeight="1">
      <c r="A2482" s="1666"/>
      <c r="B2482" s="2694"/>
      <c r="C2482" s="2685" t="s">
        <v>850</v>
      </c>
      <c r="D2482" s="2686" t="s">
        <v>792</v>
      </c>
      <c r="E2482" s="1904">
        <v>332</v>
      </c>
      <c r="F2482" s="1904">
        <f t="shared" si="559"/>
        <v>103</v>
      </c>
      <c r="G2482" s="1905">
        <f t="shared" si="543"/>
        <v>0.31024096385542171</v>
      </c>
      <c r="H2482" s="1635">
        <f t="shared" si="544"/>
        <v>103</v>
      </c>
      <c r="AD2482" s="1636">
        <v>103</v>
      </c>
    </row>
    <row r="2483" spans="1:30" ht="17.100000000000001" hidden="1" customHeight="1">
      <c r="A2483" s="1666"/>
      <c r="B2483" s="2694"/>
      <c r="C2483" s="2685" t="s">
        <v>954</v>
      </c>
      <c r="D2483" s="2696" t="s">
        <v>928</v>
      </c>
      <c r="E2483" s="1904"/>
      <c r="F2483" s="1904">
        <f t="shared" si="559"/>
        <v>0</v>
      </c>
      <c r="G2483" s="1905" t="e">
        <f t="shared" si="543"/>
        <v>#DIV/0!</v>
      </c>
      <c r="H2483" s="1635">
        <f t="shared" si="544"/>
        <v>0</v>
      </c>
    </row>
    <row r="2484" spans="1:30" ht="17.100000000000001" hidden="1" customHeight="1">
      <c r="A2484" s="1666"/>
      <c r="B2484" s="2694"/>
      <c r="C2484" s="2685" t="s">
        <v>955</v>
      </c>
      <c r="D2484" s="2696" t="s">
        <v>928</v>
      </c>
      <c r="E2484" s="1904"/>
      <c r="F2484" s="1904">
        <f t="shared" si="559"/>
        <v>0</v>
      </c>
      <c r="G2484" s="1905" t="e">
        <f t="shared" si="543"/>
        <v>#DIV/0!</v>
      </c>
      <c r="H2484" s="1635">
        <f t="shared" si="544"/>
        <v>0</v>
      </c>
    </row>
    <row r="2485" spans="1:30" ht="17.100000000000001" customHeight="1">
      <c r="A2485" s="1666"/>
      <c r="B2485" s="2694"/>
      <c r="C2485" s="2695"/>
      <c r="D2485" s="2696"/>
      <c r="E2485" s="1904"/>
      <c r="F2485" s="1904"/>
      <c r="G2485" s="1905"/>
      <c r="H2485" s="1635">
        <f t="shared" ref="H2485:H2552" si="560">SUM(I2485:AE2485)</f>
        <v>0</v>
      </c>
    </row>
    <row r="2486" spans="1:30" ht="17.100000000000001" customHeight="1">
      <c r="A2486" s="1666"/>
      <c r="B2486" s="1678"/>
      <c r="C2486" s="3831" t="s">
        <v>810</v>
      </c>
      <c r="D2486" s="3831"/>
      <c r="E2486" s="2071">
        <f t="shared" ref="E2486:F2486" si="561">E2487</f>
        <v>1168323</v>
      </c>
      <c r="F2486" s="2071">
        <f t="shared" si="561"/>
        <v>1485851</v>
      </c>
      <c r="G2486" s="2054">
        <f t="shared" si="543"/>
        <v>1.2717810057663848</v>
      </c>
      <c r="H2486" s="1635">
        <f t="shared" si="560"/>
        <v>0</v>
      </c>
    </row>
    <row r="2487" spans="1:30" ht="17.100000000000001" customHeight="1">
      <c r="A2487" s="1666"/>
      <c r="B2487" s="1678"/>
      <c r="C2487" s="3842" t="s">
        <v>811</v>
      </c>
      <c r="D2487" s="3839"/>
      <c r="E2487" s="1904">
        <f>SUM(E2488:E2493)</f>
        <v>1168323</v>
      </c>
      <c r="F2487" s="1904">
        <f>SUM(F2488:F2493)</f>
        <v>1485851</v>
      </c>
      <c r="G2487" s="1905">
        <f t="shared" si="543"/>
        <v>1.2717810057663848</v>
      </c>
      <c r="H2487" s="1635">
        <f t="shared" si="560"/>
        <v>0</v>
      </c>
    </row>
    <row r="2488" spans="1:30" ht="17.100000000000001" hidden="1" customHeight="1">
      <c r="A2488" s="1666"/>
      <c r="B2488" s="1678"/>
      <c r="C2488" s="2700" t="s">
        <v>821</v>
      </c>
      <c r="D2488" s="1720" t="s">
        <v>813</v>
      </c>
      <c r="E2488" s="1904"/>
      <c r="F2488" s="1904">
        <f>H2488</f>
        <v>0</v>
      </c>
      <c r="G2488" s="1905" t="e">
        <f t="shared" si="543"/>
        <v>#DIV/0!</v>
      </c>
      <c r="H2488" s="1635">
        <f t="shared" si="560"/>
        <v>0</v>
      </c>
    </row>
    <row r="2489" spans="1:30" ht="17.100000000000001" hidden="1" customHeight="1">
      <c r="A2489" s="1666"/>
      <c r="B2489" s="1678"/>
      <c r="C2489" s="2576" t="s">
        <v>920</v>
      </c>
      <c r="D2489" s="1720" t="s">
        <v>813</v>
      </c>
      <c r="E2489" s="1904"/>
      <c r="F2489" s="1904">
        <f t="shared" ref="F2489:F2493" si="562">H2489</f>
        <v>0</v>
      </c>
      <c r="G2489" s="1905" t="e">
        <f t="shared" si="543"/>
        <v>#DIV/0!</v>
      </c>
      <c r="H2489" s="1635">
        <f t="shared" si="560"/>
        <v>0</v>
      </c>
    </row>
    <row r="2490" spans="1:30" ht="17.100000000000001" hidden="1" customHeight="1">
      <c r="A2490" s="1666"/>
      <c r="B2490" s="1678"/>
      <c r="C2490" s="2700" t="s">
        <v>921</v>
      </c>
      <c r="D2490" s="1720" t="s">
        <v>813</v>
      </c>
      <c r="E2490" s="1904"/>
      <c r="F2490" s="1904">
        <f t="shared" si="562"/>
        <v>0</v>
      </c>
      <c r="G2490" s="1905" t="e">
        <f t="shared" si="543"/>
        <v>#DIV/0!</v>
      </c>
      <c r="H2490" s="1635">
        <f t="shared" si="560"/>
        <v>0</v>
      </c>
    </row>
    <row r="2491" spans="1:30" ht="50.25" customHeight="1" thickBot="1">
      <c r="A2491" s="1666"/>
      <c r="B2491" s="1678"/>
      <c r="C2491" s="2700" t="s">
        <v>901</v>
      </c>
      <c r="D2491" s="1720" t="s">
        <v>902</v>
      </c>
      <c r="E2491" s="1904">
        <v>874971</v>
      </c>
      <c r="F2491" s="1904">
        <f t="shared" si="562"/>
        <v>1485851</v>
      </c>
      <c r="G2491" s="1905">
        <f t="shared" si="543"/>
        <v>1.6981717108338448</v>
      </c>
      <c r="H2491" s="1635">
        <f t="shared" si="560"/>
        <v>1485851</v>
      </c>
      <c r="W2491" s="1636">
        <v>1485851</v>
      </c>
    </row>
    <row r="2492" spans="1:30" ht="39" hidden="1" thickBot="1">
      <c r="A2492" s="1666"/>
      <c r="B2492" s="1678"/>
      <c r="C2492" s="2700" t="s">
        <v>938</v>
      </c>
      <c r="D2492" s="2686" t="s">
        <v>939</v>
      </c>
      <c r="E2492" s="2701">
        <f>83351+210000</f>
        <v>293351</v>
      </c>
      <c r="F2492" s="2701">
        <f t="shared" si="562"/>
        <v>0</v>
      </c>
      <c r="G2492" s="2684">
        <f t="shared" si="543"/>
        <v>0</v>
      </c>
      <c r="H2492" s="1635">
        <f t="shared" si="560"/>
        <v>0</v>
      </c>
    </row>
    <row r="2493" spans="1:30" ht="26.25" hidden="1" thickBot="1">
      <c r="A2493" s="1666"/>
      <c r="B2493" s="1678"/>
      <c r="C2493" s="2702" t="s">
        <v>906</v>
      </c>
      <c r="D2493" s="2673" t="s">
        <v>1010</v>
      </c>
      <c r="E2493" s="2678">
        <v>1</v>
      </c>
      <c r="F2493" s="2678">
        <f t="shared" si="562"/>
        <v>0</v>
      </c>
      <c r="G2493" s="2679">
        <f t="shared" si="543"/>
        <v>0</v>
      </c>
      <c r="H2493" s="1635">
        <f t="shared" si="560"/>
        <v>0</v>
      </c>
    </row>
    <row r="2494" spans="1:30" ht="17.100000000000001" hidden="1" customHeight="1">
      <c r="A2494" s="1666"/>
      <c r="B2494" s="1678"/>
      <c r="C2494" s="3736"/>
      <c r="D2494" s="3844"/>
      <c r="E2494" s="2678"/>
      <c r="F2494" s="2678"/>
      <c r="G2494" s="2679"/>
      <c r="H2494" s="1635">
        <f t="shared" si="560"/>
        <v>0</v>
      </c>
    </row>
    <row r="2495" spans="1:30" ht="27" hidden="1" customHeight="1">
      <c r="A2495" s="1666"/>
      <c r="B2495" s="1678"/>
      <c r="C2495" s="3845" t="s">
        <v>823</v>
      </c>
      <c r="D2495" s="3846"/>
      <c r="E2495" s="2703">
        <f>SUM(E2496:E2499)</f>
        <v>1</v>
      </c>
      <c r="F2495" s="2703">
        <f>SUM(F2496:F2499)</f>
        <v>0</v>
      </c>
      <c r="G2495" s="2680">
        <f t="shared" si="543"/>
        <v>0</v>
      </c>
      <c r="H2495" s="1635">
        <f t="shared" si="560"/>
        <v>0</v>
      </c>
    </row>
    <row r="2496" spans="1:30" ht="17.100000000000001" hidden="1" customHeight="1">
      <c r="A2496" s="1666"/>
      <c r="B2496" s="1678"/>
      <c r="C2496" s="2704" t="s">
        <v>821</v>
      </c>
      <c r="D2496" s="2705" t="s">
        <v>813</v>
      </c>
      <c r="E2496" s="2701"/>
      <c r="F2496" s="2511">
        <f>H2496</f>
        <v>0</v>
      </c>
      <c r="G2496" s="2679" t="e">
        <f t="shared" si="543"/>
        <v>#DIV/0!</v>
      </c>
      <c r="H2496" s="1635">
        <f t="shared" si="560"/>
        <v>0</v>
      </c>
    </row>
    <row r="2497" spans="1:17" ht="17.100000000000001" hidden="1" customHeight="1">
      <c r="A2497" s="1666"/>
      <c r="B2497" s="1678"/>
      <c r="C2497" s="2704" t="s">
        <v>920</v>
      </c>
      <c r="D2497" s="2705" t="s">
        <v>813</v>
      </c>
      <c r="E2497" s="2701"/>
      <c r="F2497" s="2511">
        <f t="shared" ref="F2497:F2499" si="563">H2497</f>
        <v>0</v>
      </c>
      <c r="G2497" s="2512" t="e">
        <f t="shared" si="543"/>
        <v>#DIV/0!</v>
      </c>
      <c r="H2497" s="1635">
        <f t="shared" si="560"/>
        <v>0</v>
      </c>
    </row>
    <row r="2498" spans="1:17" ht="17.100000000000001" hidden="1" customHeight="1">
      <c r="A2498" s="1666"/>
      <c r="B2498" s="1678"/>
      <c r="C2498" s="2704" t="s">
        <v>921</v>
      </c>
      <c r="D2498" s="2705" t="s">
        <v>813</v>
      </c>
      <c r="E2498" s="2701"/>
      <c r="F2498" s="2511">
        <f t="shared" si="563"/>
        <v>0</v>
      </c>
      <c r="G2498" s="2512" t="e">
        <f t="shared" si="543"/>
        <v>#DIV/0!</v>
      </c>
      <c r="H2498" s="1635">
        <f t="shared" si="560"/>
        <v>0</v>
      </c>
    </row>
    <row r="2499" spans="1:17" ht="28.5" hidden="1" customHeight="1" thickBot="1">
      <c r="A2499" s="1666"/>
      <c r="B2499" s="1678"/>
      <c r="C2499" s="2704" t="s">
        <v>906</v>
      </c>
      <c r="D2499" s="2629" t="s">
        <v>1010</v>
      </c>
      <c r="E2499" s="1688">
        <v>1</v>
      </c>
      <c r="F2499" s="2511">
        <f t="shared" si="563"/>
        <v>0</v>
      </c>
      <c r="G2499" s="2512">
        <f t="shared" si="543"/>
        <v>0</v>
      </c>
      <c r="H2499" s="1635">
        <f t="shared" si="560"/>
        <v>0</v>
      </c>
    </row>
    <row r="2500" spans="1:17" ht="27.75" customHeight="1" thickBot="1">
      <c r="A2500" s="1660" t="s">
        <v>121</v>
      </c>
      <c r="B2500" s="1765"/>
      <c r="C2500" s="1766"/>
      <c r="D2500" s="1767" t="s">
        <v>1254</v>
      </c>
      <c r="E2500" s="1768">
        <f>E2501+E2505+E2543</f>
        <v>3353546</v>
      </c>
      <c r="F2500" s="1768">
        <f>F2501+F2505+F2543</f>
        <v>1543154</v>
      </c>
      <c r="G2500" s="1769">
        <f t="shared" ref="G2500:G2596" si="564">F2500/E2500</f>
        <v>0.46015590661347722</v>
      </c>
      <c r="H2500" s="1635">
        <f t="shared" si="560"/>
        <v>0</v>
      </c>
    </row>
    <row r="2501" spans="1:17" ht="33.75" hidden="1" customHeight="1" thickBot="1">
      <c r="A2501" s="2014"/>
      <c r="B2501" s="1734" t="s">
        <v>1255</v>
      </c>
      <c r="C2501" s="1735"/>
      <c r="D2501" s="1736" t="s">
        <v>1256</v>
      </c>
      <c r="E2501" s="1737">
        <f t="shared" ref="E2501:F2503" si="565">E2502</f>
        <v>0</v>
      </c>
      <c r="F2501" s="1737">
        <f t="shared" si="565"/>
        <v>0</v>
      </c>
      <c r="G2501" s="1738" t="e">
        <f t="shared" si="564"/>
        <v>#DIV/0!</v>
      </c>
      <c r="H2501" s="1635">
        <f t="shared" si="560"/>
        <v>0</v>
      </c>
    </row>
    <row r="2502" spans="1:17" ht="18.75" hidden="1" customHeight="1">
      <c r="A2502" s="2014"/>
      <c r="B2502" s="3786"/>
      <c r="C2502" s="3831" t="s">
        <v>810</v>
      </c>
      <c r="D2502" s="3831"/>
      <c r="E2502" s="2015">
        <f t="shared" si="565"/>
        <v>0</v>
      </c>
      <c r="F2502" s="2015">
        <f t="shared" si="565"/>
        <v>0</v>
      </c>
      <c r="G2502" s="2016" t="e">
        <f>F2502/E2502</f>
        <v>#DIV/0!</v>
      </c>
      <c r="H2502" s="1635">
        <f t="shared" si="560"/>
        <v>0</v>
      </c>
    </row>
    <row r="2503" spans="1:17" ht="18.75" hidden="1" customHeight="1">
      <c r="A2503" s="2014"/>
      <c r="B2503" s="3787"/>
      <c r="C2503" s="3842" t="s">
        <v>811</v>
      </c>
      <c r="D2503" s="3839"/>
      <c r="E2503" s="2419">
        <f t="shared" si="565"/>
        <v>0</v>
      </c>
      <c r="F2503" s="2419">
        <f t="shared" si="565"/>
        <v>0</v>
      </c>
      <c r="G2503" s="2706" t="e">
        <f t="shared" ref="G2503:G2504" si="566">F2503/E2503</f>
        <v>#DIV/0!</v>
      </c>
      <c r="H2503" s="1635">
        <f t="shared" si="560"/>
        <v>0</v>
      </c>
    </row>
    <row r="2504" spans="1:17" ht="42.75" hidden="1" customHeight="1" thickBot="1">
      <c r="A2504" s="2014"/>
      <c r="B2504" s="3788"/>
      <c r="C2504" s="2700" t="s">
        <v>1006</v>
      </c>
      <c r="D2504" s="1720" t="s">
        <v>1007</v>
      </c>
      <c r="E2504" s="1970">
        <v>0</v>
      </c>
      <c r="F2504" s="1970">
        <f>H2504</f>
        <v>0</v>
      </c>
      <c r="G2504" s="2707" t="e">
        <f t="shared" si="566"/>
        <v>#DIV/0!</v>
      </c>
      <c r="H2504" s="1635">
        <f t="shared" si="560"/>
        <v>0</v>
      </c>
    </row>
    <row r="2505" spans="1:17" ht="17.100000000000001" customHeight="1" thickBot="1">
      <c r="A2505" s="1666"/>
      <c r="B2505" s="1734" t="s">
        <v>1257</v>
      </c>
      <c r="C2505" s="1735"/>
      <c r="D2505" s="1736" t="s">
        <v>714</v>
      </c>
      <c r="E2505" s="1737">
        <f>E2506</f>
        <v>3321046</v>
      </c>
      <c r="F2505" s="1737">
        <f t="shared" ref="F2505" si="567">F2506</f>
        <v>1521154</v>
      </c>
      <c r="G2505" s="1738">
        <f t="shared" si="564"/>
        <v>0.45803460716894617</v>
      </c>
      <c r="H2505" s="1635">
        <f t="shared" si="560"/>
        <v>0</v>
      </c>
    </row>
    <row r="2506" spans="1:17" ht="17.100000000000001" customHeight="1">
      <c r="A2506" s="1666"/>
      <c r="B2506" s="1678"/>
      <c r="C2506" s="3472" t="s">
        <v>755</v>
      </c>
      <c r="D2506" s="3472"/>
      <c r="E2506" s="1805">
        <f>E2507+E2535+E2539</f>
        <v>3321046</v>
      </c>
      <c r="F2506" s="1672">
        <f>F2507+F2535+F2539</f>
        <v>1521154</v>
      </c>
      <c r="G2506" s="1673">
        <f t="shared" si="564"/>
        <v>0.45803460716894617</v>
      </c>
      <c r="H2506" s="1635">
        <f t="shared" si="560"/>
        <v>0</v>
      </c>
    </row>
    <row r="2507" spans="1:17" ht="17.100000000000001" customHeight="1">
      <c r="A2507" s="1666"/>
      <c r="B2507" s="1678"/>
      <c r="C2507" s="3834" t="s">
        <v>756</v>
      </c>
      <c r="D2507" s="3834"/>
      <c r="E2507" s="1904">
        <f t="shared" ref="E2507:F2507" si="568">E2508+E2516</f>
        <v>1454332</v>
      </c>
      <c r="F2507" s="1904">
        <f t="shared" si="568"/>
        <v>1450974</v>
      </c>
      <c r="G2507" s="1905">
        <f t="shared" si="564"/>
        <v>0.99769103615955645</v>
      </c>
      <c r="H2507" s="1635">
        <f t="shared" si="560"/>
        <v>0</v>
      </c>
    </row>
    <row r="2508" spans="1:17" ht="17.100000000000001" customHeight="1">
      <c r="A2508" s="1666"/>
      <c r="B2508" s="1678"/>
      <c r="C2508" s="3771" t="s">
        <v>757</v>
      </c>
      <c r="D2508" s="3771"/>
      <c r="E2508" s="1906">
        <f>SUM(E2509:E2514)</f>
        <v>1013084</v>
      </c>
      <c r="F2508" s="1906">
        <f>SUM(F2509:F2514)</f>
        <v>1165173</v>
      </c>
      <c r="G2508" s="1907">
        <f t="shared" si="564"/>
        <v>1.1501247675414872</v>
      </c>
      <c r="H2508" s="1635">
        <f t="shared" si="560"/>
        <v>0</v>
      </c>
    </row>
    <row r="2509" spans="1:17" ht="17.100000000000001" customHeight="1">
      <c r="A2509" s="1666"/>
      <c r="B2509" s="1678"/>
      <c r="C2509" s="2685" t="s">
        <v>758</v>
      </c>
      <c r="D2509" s="2686" t="s">
        <v>759</v>
      </c>
      <c r="E2509" s="1904">
        <v>772937</v>
      </c>
      <c r="F2509" s="1904">
        <f>H2509</f>
        <v>895996</v>
      </c>
      <c r="G2509" s="1905">
        <f t="shared" si="564"/>
        <v>1.1592096121676152</v>
      </c>
      <c r="H2509" s="1635">
        <f t="shared" si="560"/>
        <v>895996</v>
      </c>
      <c r="Q2509" s="1636">
        <v>895996</v>
      </c>
    </row>
    <row r="2510" spans="1:17" ht="17.100000000000001" customHeight="1">
      <c r="A2510" s="1666"/>
      <c r="B2510" s="1678"/>
      <c r="C2510" s="2685" t="s">
        <v>760</v>
      </c>
      <c r="D2510" s="2686" t="s">
        <v>761</v>
      </c>
      <c r="E2510" s="1904">
        <v>60047</v>
      </c>
      <c r="F2510" s="1904">
        <f t="shared" ref="F2510:F2514" si="569">H2510</f>
        <v>66259</v>
      </c>
      <c r="G2510" s="1905">
        <f t="shared" si="564"/>
        <v>1.1034522957017003</v>
      </c>
      <c r="H2510" s="1635">
        <f t="shared" si="560"/>
        <v>66259</v>
      </c>
      <c r="Q2510" s="1636">
        <v>66259</v>
      </c>
    </row>
    <row r="2511" spans="1:17" ht="17.100000000000001" customHeight="1">
      <c r="A2511" s="1666"/>
      <c r="B2511" s="1678"/>
      <c r="C2511" s="2685" t="s">
        <v>762</v>
      </c>
      <c r="D2511" s="2686" t="s">
        <v>763</v>
      </c>
      <c r="E2511" s="1904">
        <v>149007</v>
      </c>
      <c r="F2511" s="1904">
        <f t="shared" si="569"/>
        <v>172426</v>
      </c>
      <c r="G2511" s="1905">
        <f t="shared" si="564"/>
        <v>1.157167112954425</v>
      </c>
      <c r="H2511" s="1635">
        <f t="shared" si="560"/>
        <v>172426</v>
      </c>
      <c r="Q2511" s="1636">
        <v>172426</v>
      </c>
    </row>
    <row r="2512" spans="1:17" ht="27.75" customHeight="1">
      <c r="A2512" s="1666"/>
      <c r="B2512" s="1678"/>
      <c r="C2512" s="2685" t="s">
        <v>764</v>
      </c>
      <c r="D2512" s="2686" t="s">
        <v>1440</v>
      </c>
      <c r="E2512" s="1904">
        <v>14119</v>
      </c>
      <c r="F2512" s="1904">
        <f t="shared" si="569"/>
        <v>15881</v>
      </c>
      <c r="G2512" s="1905">
        <f t="shared" si="564"/>
        <v>1.1247963736808555</v>
      </c>
      <c r="H2512" s="1635">
        <f t="shared" si="560"/>
        <v>15881</v>
      </c>
      <c r="Q2512" s="1636">
        <v>15881</v>
      </c>
    </row>
    <row r="2513" spans="1:17" ht="17.100000000000001" customHeight="1">
      <c r="A2513" s="1666"/>
      <c r="B2513" s="1678"/>
      <c r="C2513" s="2685" t="s">
        <v>766</v>
      </c>
      <c r="D2513" s="2686" t="s">
        <v>767</v>
      </c>
      <c r="E2513" s="1904">
        <v>14700</v>
      </c>
      <c r="F2513" s="1904">
        <f t="shared" si="569"/>
        <v>11200</v>
      </c>
      <c r="G2513" s="1905">
        <f t="shared" si="564"/>
        <v>0.76190476190476186</v>
      </c>
      <c r="H2513" s="1635">
        <f t="shared" si="560"/>
        <v>11200</v>
      </c>
      <c r="Q2513" s="1636">
        <v>11200</v>
      </c>
    </row>
    <row r="2514" spans="1:17" ht="17.100000000000001" customHeight="1">
      <c r="A2514" s="1666"/>
      <c r="B2514" s="1678"/>
      <c r="C2514" s="2685" t="s">
        <v>768</v>
      </c>
      <c r="D2514" s="2686" t="s">
        <v>769</v>
      </c>
      <c r="E2514" s="1904">
        <v>2274</v>
      </c>
      <c r="F2514" s="1904">
        <f t="shared" si="569"/>
        <v>3411</v>
      </c>
      <c r="G2514" s="1905">
        <f t="shared" si="564"/>
        <v>1.5</v>
      </c>
      <c r="H2514" s="1635">
        <f t="shared" si="560"/>
        <v>3411</v>
      </c>
      <c r="Q2514" s="1636">
        <v>3411</v>
      </c>
    </row>
    <row r="2515" spans="1:17" ht="14.25" customHeight="1">
      <c r="A2515" s="1666"/>
      <c r="B2515" s="1678"/>
      <c r="C2515" s="1699"/>
      <c r="D2515" s="1699"/>
      <c r="E2515" s="1683"/>
      <c r="F2515" s="1683"/>
      <c r="G2515" s="1684"/>
      <c r="H2515" s="1635">
        <f t="shared" si="560"/>
        <v>0</v>
      </c>
    </row>
    <row r="2516" spans="1:17" ht="17.100000000000001" customHeight="1">
      <c r="A2516" s="1666"/>
      <c r="B2516" s="1678"/>
      <c r="C2516" s="3841" t="s">
        <v>770</v>
      </c>
      <c r="D2516" s="3841"/>
      <c r="E2516" s="1906">
        <f t="shared" ref="E2516:F2516" si="570">SUM(E2517:E2533)</f>
        <v>441248</v>
      </c>
      <c r="F2516" s="1906">
        <f t="shared" si="570"/>
        <v>285801</v>
      </c>
      <c r="G2516" s="1907">
        <f t="shared" si="564"/>
        <v>0.64771058452389585</v>
      </c>
      <c r="H2516" s="1635">
        <f t="shared" si="560"/>
        <v>0</v>
      </c>
    </row>
    <row r="2517" spans="1:17" ht="17.100000000000001" customHeight="1">
      <c r="A2517" s="1666"/>
      <c r="B2517" s="1678"/>
      <c r="C2517" s="2704" t="s">
        <v>869</v>
      </c>
      <c r="D2517" s="2708" t="s">
        <v>839</v>
      </c>
      <c r="E2517" s="1904">
        <v>8500</v>
      </c>
      <c r="F2517" s="1904">
        <f>H2517</f>
        <v>11300</v>
      </c>
      <c r="G2517" s="1905">
        <f t="shared" si="564"/>
        <v>1.3294117647058823</v>
      </c>
      <c r="H2517" s="1635">
        <f t="shared" si="560"/>
        <v>11300</v>
      </c>
      <c r="Q2517" s="1636">
        <v>11300</v>
      </c>
    </row>
    <row r="2518" spans="1:17" ht="17.100000000000001" customHeight="1">
      <c r="A2518" s="1666"/>
      <c r="B2518" s="1678"/>
      <c r="C2518" s="1719" t="s">
        <v>773</v>
      </c>
      <c r="D2518" s="1720" t="s">
        <v>774</v>
      </c>
      <c r="E2518" s="1749">
        <v>78991</v>
      </c>
      <c r="F2518" s="1904">
        <f t="shared" ref="F2518:F2533" si="571">H2518</f>
        <v>55900</v>
      </c>
      <c r="G2518" s="1750">
        <f t="shared" si="564"/>
        <v>0.70767555797495918</v>
      </c>
      <c r="H2518" s="1635">
        <f t="shared" si="560"/>
        <v>55900</v>
      </c>
      <c r="Q2518" s="1636">
        <v>55900</v>
      </c>
    </row>
    <row r="2519" spans="1:17" ht="17.100000000000001" customHeight="1">
      <c r="A2519" s="1666"/>
      <c r="B2519" s="1678"/>
      <c r="C2519" s="2685" t="s">
        <v>775</v>
      </c>
      <c r="D2519" s="2686" t="s">
        <v>776</v>
      </c>
      <c r="E2519" s="1904">
        <v>4450</v>
      </c>
      <c r="F2519" s="1904">
        <f t="shared" si="571"/>
        <v>7150</v>
      </c>
      <c r="G2519" s="1905">
        <f t="shared" si="564"/>
        <v>1.6067415730337078</v>
      </c>
      <c r="H2519" s="1635">
        <f t="shared" si="560"/>
        <v>7150</v>
      </c>
      <c r="Q2519" s="1636">
        <v>7150</v>
      </c>
    </row>
    <row r="2520" spans="1:17" ht="17.100000000000001" hidden="1" customHeight="1">
      <c r="A2520" s="1666"/>
      <c r="B2520" s="1678"/>
      <c r="C2520" s="2685" t="s">
        <v>983</v>
      </c>
      <c r="D2520" s="2686" t="s">
        <v>984</v>
      </c>
      <c r="E2520" s="1904">
        <v>324</v>
      </c>
      <c r="F2520" s="1904">
        <f t="shared" si="571"/>
        <v>0</v>
      </c>
      <c r="G2520" s="1905">
        <f t="shared" si="564"/>
        <v>0</v>
      </c>
      <c r="H2520" s="1635">
        <f t="shared" si="560"/>
        <v>0</v>
      </c>
      <c r="Q2520" s="1636">
        <v>0</v>
      </c>
    </row>
    <row r="2521" spans="1:17" ht="17.100000000000001" customHeight="1">
      <c r="A2521" s="1666"/>
      <c r="B2521" s="1678"/>
      <c r="C2521" s="2685" t="s">
        <v>777</v>
      </c>
      <c r="D2521" s="2686" t="s">
        <v>778</v>
      </c>
      <c r="E2521" s="1904">
        <v>46000</v>
      </c>
      <c r="F2521" s="1904">
        <f t="shared" si="571"/>
        <v>46000</v>
      </c>
      <c r="G2521" s="1905">
        <f t="shared" si="564"/>
        <v>1</v>
      </c>
      <c r="H2521" s="1635">
        <f t="shared" si="560"/>
        <v>46000</v>
      </c>
      <c r="Q2521" s="1636">
        <v>46000</v>
      </c>
    </row>
    <row r="2522" spans="1:17" ht="17.100000000000001" customHeight="1">
      <c r="A2522" s="1666"/>
      <c r="B2522" s="1678"/>
      <c r="C2522" s="2685" t="s">
        <v>779</v>
      </c>
      <c r="D2522" s="2686" t="s">
        <v>780</v>
      </c>
      <c r="E2522" s="1904">
        <v>3800</v>
      </c>
      <c r="F2522" s="1904">
        <f t="shared" si="571"/>
        <v>3500</v>
      </c>
      <c r="G2522" s="1905">
        <f t="shared" si="564"/>
        <v>0.92105263157894735</v>
      </c>
      <c r="H2522" s="1635">
        <f t="shared" si="560"/>
        <v>3500</v>
      </c>
      <c r="Q2522" s="1636">
        <v>3500</v>
      </c>
    </row>
    <row r="2523" spans="1:17" ht="17.100000000000001" customHeight="1">
      <c r="A2523" s="1666"/>
      <c r="B2523" s="1678"/>
      <c r="C2523" s="2687" t="s">
        <v>781</v>
      </c>
      <c r="D2523" s="2709" t="s">
        <v>782</v>
      </c>
      <c r="E2523" s="1904">
        <v>1400</v>
      </c>
      <c r="F2523" s="1904">
        <f t="shared" si="571"/>
        <v>1100</v>
      </c>
      <c r="G2523" s="1905">
        <f t="shared" si="564"/>
        <v>0.7857142857142857</v>
      </c>
      <c r="H2523" s="1635">
        <f t="shared" si="560"/>
        <v>1100</v>
      </c>
      <c r="Q2523" s="1636">
        <v>1100</v>
      </c>
    </row>
    <row r="2524" spans="1:17" ht="17.100000000000001" customHeight="1">
      <c r="A2524" s="1666"/>
      <c r="B2524" s="1678"/>
      <c r="C2524" s="1719" t="s">
        <v>783</v>
      </c>
      <c r="D2524" s="1720" t="s">
        <v>784</v>
      </c>
      <c r="E2524" s="1749">
        <v>186091</v>
      </c>
      <c r="F2524" s="1904">
        <f t="shared" si="571"/>
        <v>48562</v>
      </c>
      <c r="G2524" s="1750">
        <f t="shared" si="564"/>
        <v>0.2609583483349544</v>
      </c>
      <c r="H2524" s="1635">
        <f t="shared" si="560"/>
        <v>48562</v>
      </c>
      <c r="Q2524" s="1636">
        <v>48562</v>
      </c>
    </row>
    <row r="2525" spans="1:17" ht="16.5" customHeight="1">
      <c r="A2525" s="1666"/>
      <c r="B2525" s="1678"/>
      <c r="C2525" s="2685" t="s">
        <v>785</v>
      </c>
      <c r="D2525" s="2686" t="s">
        <v>786</v>
      </c>
      <c r="E2525" s="1904">
        <v>2900</v>
      </c>
      <c r="F2525" s="1904">
        <f t="shared" si="571"/>
        <v>3100</v>
      </c>
      <c r="G2525" s="1905">
        <f t="shared" si="564"/>
        <v>1.0689655172413792</v>
      </c>
      <c r="H2525" s="1635">
        <f t="shared" si="560"/>
        <v>3100</v>
      </c>
      <c r="Q2525" s="1636">
        <v>3100</v>
      </c>
    </row>
    <row r="2526" spans="1:17" ht="16.5" hidden="1" customHeight="1">
      <c r="A2526" s="1666"/>
      <c r="B2526" s="1678"/>
      <c r="C2526" s="2685" t="s">
        <v>787</v>
      </c>
      <c r="D2526" s="2686" t="s">
        <v>788</v>
      </c>
      <c r="E2526" s="1904">
        <v>2460</v>
      </c>
      <c r="F2526" s="1904">
        <f t="shared" si="571"/>
        <v>0</v>
      </c>
      <c r="G2526" s="1905">
        <f t="shared" si="564"/>
        <v>0</v>
      </c>
      <c r="H2526" s="1635">
        <f t="shared" si="560"/>
        <v>0</v>
      </c>
      <c r="Q2526" s="1636">
        <v>0</v>
      </c>
    </row>
    <row r="2527" spans="1:17" ht="24" customHeight="1">
      <c r="A2527" s="1666"/>
      <c r="B2527" s="1678"/>
      <c r="C2527" s="2685" t="s">
        <v>789</v>
      </c>
      <c r="D2527" s="2686" t="s">
        <v>790</v>
      </c>
      <c r="E2527" s="1904">
        <v>67168</v>
      </c>
      <c r="F2527" s="1904">
        <f t="shared" si="571"/>
        <v>64980</v>
      </c>
      <c r="G2527" s="1905">
        <f t="shared" si="564"/>
        <v>0.96742496426869939</v>
      </c>
      <c r="H2527" s="1635">
        <f t="shared" si="560"/>
        <v>64980</v>
      </c>
      <c r="Q2527" s="1636">
        <v>64980</v>
      </c>
    </row>
    <row r="2528" spans="1:17" ht="17.100000000000001" customHeight="1">
      <c r="A2528" s="1666"/>
      <c r="B2528" s="1678"/>
      <c r="C2528" s="2685" t="s">
        <v>791</v>
      </c>
      <c r="D2528" s="2686" t="s">
        <v>792</v>
      </c>
      <c r="E2528" s="1904">
        <v>1100</v>
      </c>
      <c r="F2528" s="1904">
        <f t="shared" si="571"/>
        <v>1100</v>
      </c>
      <c r="G2528" s="1905">
        <f t="shared" si="564"/>
        <v>1</v>
      </c>
      <c r="H2528" s="1635">
        <f t="shared" si="560"/>
        <v>1100</v>
      </c>
      <c r="Q2528" s="1636">
        <v>1100</v>
      </c>
    </row>
    <row r="2529" spans="1:17" ht="17.100000000000001" customHeight="1">
      <c r="A2529" s="1666"/>
      <c r="B2529" s="1678"/>
      <c r="C2529" s="2685" t="s">
        <v>927</v>
      </c>
      <c r="D2529" s="2686" t="s">
        <v>928</v>
      </c>
      <c r="E2529" s="1904">
        <v>300</v>
      </c>
      <c r="F2529" s="1904">
        <f t="shared" si="571"/>
        <v>300</v>
      </c>
      <c r="G2529" s="1905">
        <f t="shared" si="564"/>
        <v>1</v>
      </c>
      <c r="H2529" s="1635">
        <f t="shared" si="560"/>
        <v>300</v>
      </c>
      <c r="Q2529" s="1636">
        <v>300</v>
      </c>
    </row>
    <row r="2530" spans="1:17" ht="17.100000000000001" customHeight="1">
      <c r="A2530" s="1666"/>
      <c r="B2530" s="1678"/>
      <c r="C2530" s="2685" t="s">
        <v>793</v>
      </c>
      <c r="D2530" s="2686" t="s">
        <v>794</v>
      </c>
      <c r="E2530" s="1904">
        <v>4480</v>
      </c>
      <c r="F2530" s="1904">
        <f t="shared" si="571"/>
        <v>6600</v>
      </c>
      <c r="G2530" s="1905">
        <f t="shared" si="564"/>
        <v>1.4732142857142858</v>
      </c>
      <c r="H2530" s="1635">
        <f t="shared" si="560"/>
        <v>6600</v>
      </c>
      <c r="Q2530" s="1636">
        <v>6600</v>
      </c>
    </row>
    <row r="2531" spans="1:17" ht="17.100000000000001" customHeight="1">
      <c r="A2531" s="1666"/>
      <c r="B2531" s="1678"/>
      <c r="C2531" s="2685" t="s">
        <v>795</v>
      </c>
      <c r="D2531" s="2686" t="s">
        <v>796</v>
      </c>
      <c r="E2531" s="1904">
        <v>27260</v>
      </c>
      <c r="F2531" s="1904">
        <f t="shared" si="571"/>
        <v>28035</v>
      </c>
      <c r="G2531" s="1905">
        <f t="shared" si="564"/>
        <v>1.0284299339691856</v>
      </c>
      <c r="H2531" s="1635">
        <f t="shared" si="560"/>
        <v>28035</v>
      </c>
      <c r="Q2531" s="1636">
        <v>28035</v>
      </c>
    </row>
    <row r="2532" spans="1:17" ht="17.100000000000001" customHeight="1">
      <c r="A2532" s="1666"/>
      <c r="B2532" s="1678"/>
      <c r="C2532" s="2685" t="s">
        <v>797</v>
      </c>
      <c r="D2532" s="2686" t="s">
        <v>798</v>
      </c>
      <c r="E2532" s="1904">
        <v>2674</v>
      </c>
      <c r="F2532" s="1904">
        <f t="shared" si="571"/>
        <v>2674</v>
      </c>
      <c r="G2532" s="1905">
        <f t="shared" si="564"/>
        <v>1</v>
      </c>
      <c r="H2532" s="1635">
        <f t="shared" si="560"/>
        <v>2674</v>
      </c>
      <c r="Q2532" s="1636">
        <v>2674</v>
      </c>
    </row>
    <row r="2533" spans="1:17" ht="18" customHeight="1">
      <c r="A2533" s="1666"/>
      <c r="B2533" s="1678"/>
      <c r="C2533" s="2685" t="s">
        <v>805</v>
      </c>
      <c r="D2533" s="2686" t="s">
        <v>806</v>
      </c>
      <c r="E2533" s="1904">
        <v>3350</v>
      </c>
      <c r="F2533" s="1904">
        <f t="shared" si="571"/>
        <v>5500</v>
      </c>
      <c r="G2533" s="1905">
        <f t="shared" si="564"/>
        <v>1.6417910447761195</v>
      </c>
      <c r="H2533" s="1635">
        <f t="shared" si="560"/>
        <v>5500</v>
      </c>
      <c r="Q2533" s="1636">
        <v>5500</v>
      </c>
    </row>
    <row r="2534" spans="1:17" ht="17.100000000000001" customHeight="1">
      <c r="A2534" s="1666"/>
      <c r="B2534" s="1678"/>
      <c r="C2534" s="2293"/>
      <c r="D2534" s="2589"/>
      <c r="E2534" s="1798"/>
      <c r="F2534" s="1798"/>
      <c r="G2534" s="1905"/>
      <c r="H2534" s="1635">
        <f t="shared" si="560"/>
        <v>0</v>
      </c>
    </row>
    <row r="2535" spans="1:17" ht="17.100000000000001" customHeight="1">
      <c r="A2535" s="1666"/>
      <c r="B2535" s="1678"/>
      <c r="C2535" s="3686" t="s">
        <v>807</v>
      </c>
      <c r="D2535" s="3686"/>
      <c r="E2535" s="1688">
        <f>SUM(E2536:E2537)</f>
        <v>47543</v>
      </c>
      <c r="F2535" s="1688">
        <f>SUM(F2536:F2537)</f>
        <v>70180</v>
      </c>
      <c r="G2535" s="1905">
        <f t="shared" si="564"/>
        <v>1.4761373914140883</v>
      </c>
      <c r="H2535" s="1635">
        <f t="shared" si="560"/>
        <v>0</v>
      </c>
    </row>
    <row r="2536" spans="1:17" ht="18" customHeight="1" thickBot="1">
      <c r="A2536" s="1666"/>
      <c r="B2536" s="1678"/>
      <c r="C2536" s="2710" t="s">
        <v>808</v>
      </c>
      <c r="D2536" s="2711" t="s">
        <v>809</v>
      </c>
      <c r="E2536" s="2692">
        <v>47543</v>
      </c>
      <c r="F2536" s="2692">
        <f>H2536</f>
        <v>70180</v>
      </c>
      <c r="G2536" s="1905">
        <f t="shared" si="564"/>
        <v>1.4761373914140883</v>
      </c>
      <c r="H2536" s="1635">
        <f t="shared" si="560"/>
        <v>70180</v>
      </c>
      <c r="Q2536" s="1636">
        <v>70180</v>
      </c>
    </row>
    <row r="2537" spans="1:17" ht="18" hidden="1" customHeight="1">
      <c r="A2537" s="1666"/>
      <c r="B2537" s="1678"/>
      <c r="C2537" s="2712" t="s">
        <v>1014</v>
      </c>
      <c r="D2537" s="2584" t="s">
        <v>1021</v>
      </c>
      <c r="E2537" s="2692"/>
      <c r="F2537" s="2692">
        <f>H2537</f>
        <v>0</v>
      </c>
      <c r="G2537" s="1905" t="e">
        <f t="shared" si="564"/>
        <v>#DIV/0!</v>
      </c>
      <c r="H2537" s="1635">
        <f t="shared" si="560"/>
        <v>0</v>
      </c>
    </row>
    <row r="2538" spans="1:17" ht="18" hidden="1" customHeight="1">
      <c r="A2538" s="1666"/>
      <c r="B2538" s="1678"/>
      <c r="C2538" s="3815"/>
      <c r="D2538" s="3849"/>
      <c r="E2538" s="1904"/>
      <c r="F2538" s="1904"/>
      <c r="G2538" s="1905"/>
      <c r="H2538" s="1635">
        <f t="shared" si="560"/>
        <v>0</v>
      </c>
    </row>
    <row r="2539" spans="1:17" ht="18" hidden="1" customHeight="1">
      <c r="A2539" s="1666"/>
      <c r="B2539" s="1678"/>
      <c r="C2539" s="3780" t="s">
        <v>825</v>
      </c>
      <c r="D2539" s="3836"/>
      <c r="E2539" s="1904">
        <f>E2540+E2541+E2542</f>
        <v>1819171</v>
      </c>
      <c r="F2539" s="1904">
        <f>F2540+F2541+F2542</f>
        <v>0</v>
      </c>
      <c r="G2539" s="2691">
        <f t="shared" si="564"/>
        <v>0</v>
      </c>
      <c r="H2539" s="1635">
        <f t="shared" si="560"/>
        <v>0</v>
      </c>
    </row>
    <row r="2540" spans="1:17" ht="18" hidden="1" customHeight="1">
      <c r="A2540" s="1666"/>
      <c r="B2540" s="1678"/>
      <c r="C2540" s="2713" t="s">
        <v>783</v>
      </c>
      <c r="D2540" s="2584" t="s">
        <v>784</v>
      </c>
      <c r="E2540" s="1904">
        <v>125235</v>
      </c>
      <c r="F2540" s="1904">
        <f>H2540</f>
        <v>0</v>
      </c>
      <c r="G2540" s="2691">
        <f t="shared" si="564"/>
        <v>0</v>
      </c>
      <c r="H2540" s="1635">
        <f t="shared" si="560"/>
        <v>0</v>
      </c>
    </row>
    <row r="2541" spans="1:17" ht="18" hidden="1" customHeight="1">
      <c r="A2541" s="1666"/>
      <c r="B2541" s="1678"/>
      <c r="C2541" s="2576" t="s">
        <v>892</v>
      </c>
      <c r="D2541" s="2605" t="s">
        <v>784</v>
      </c>
      <c r="E2541" s="1904">
        <v>1439845</v>
      </c>
      <c r="F2541" s="1904">
        <f t="shared" ref="F2541:F2542" si="572">H2541</f>
        <v>0</v>
      </c>
      <c r="G2541" s="2691">
        <f t="shared" si="564"/>
        <v>0</v>
      </c>
      <c r="H2541" s="1635">
        <f t="shared" si="560"/>
        <v>0</v>
      </c>
    </row>
    <row r="2542" spans="1:17" ht="18" hidden="1" customHeight="1" thickBot="1">
      <c r="A2542" s="1666"/>
      <c r="B2542" s="1678"/>
      <c r="C2542" s="2270" t="s">
        <v>846</v>
      </c>
      <c r="D2542" s="2714" t="s">
        <v>784</v>
      </c>
      <c r="E2542" s="1764">
        <v>254091</v>
      </c>
      <c r="F2542" s="1904">
        <f t="shared" si="572"/>
        <v>0</v>
      </c>
      <c r="G2542" s="2691">
        <f t="shared" si="564"/>
        <v>0</v>
      </c>
      <c r="H2542" s="1635">
        <f t="shared" si="560"/>
        <v>0</v>
      </c>
    </row>
    <row r="2543" spans="1:17" ht="17.100000000000001" customHeight="1" thickBot="1">
      <c r="A2543" s="1666"/>
      <c r="B2543" s="1734" t="s">
        <v>122</v>
      </c>
      <c r="C2543" s="1735"/>
      <c r="D2543" s="1736" t="s">
        <v>11</v>
      </c>
      <c r="E2543" s="1737">
        <f t="shared" ref="E2543:F2543" si="573">E2544</f>
        <v>32500</v>
      </c>
      <c r="F2543" s="1737">
        <f t="shared" si="573"/>
        <v>22000</v>
      </c>
      <c r="G2543" s="1738">
        <f t="shared" si="564"/>
        <v>0.67692307692307696</v>
      </c>
      <c r="H2543" s="1635">
        <f t="shared" si="560"/>
        <v>0</v>
      </c>
    </row>
    <row r="2544" spans="1:17" ht="17.100000000000001" customHeight="1">
      <c r="A2544" s="1666"/>
      <c r="B2544" s="1678"/>
      <c r="C2544" s="3472" t="s">
        <v>755</v>
      </c>
      <c r="D2544" s="3472"/>
      <c r="E2544" s="1672">
        <f>E2545+E2553</f>
        <v>32500</v>
      </c>
      <c r="F2544" s="1672">
        <f>F2545+F2553</f>
        <v>22000</v>
      </c>
      <c r="G2544" s="2244">
        <f t="shared" si="564"/>
        <v>0.67692307692307696</v>
      </c>
      <c r="H2544" s="1635">
        <f t="shared" si="560"/>
        <v>0</v>
      </c>
    </row>
    <row r="2545" spans="1:17" ht="17.100000000000001" customHeight="1">
      <c r="A2545" s="1666"/>
      <c r="B2545" s="1678"/>
      <c r="C2545" s="3830" t="s">
        <v>756</v>
      </c>
      <c r="D2545" s="3830"/>
      <c r="E2545" s="1904">
        <f>E2549+E2546</f>
        <v>24000</v>
      </c>
      <c r="F2545" s="1904">
        <f>F2549+F2546</f>
        <v>15000</v>
      </c>
      <c r="G2545" s="2715">
        <f t="shared" si="564"/>
        <v>0.625</v>
      </c>
      <c r="H2545" s="1635">
        <f t="shared" si="560"/>
        <v>0</v>
      </c>
    </row>
    <row r="2546" spans="1:17" ht="17.100000000000001" hidden="1" customHeight="1">
      <c r="A2546" s="1666"/>
      <c r="B2546" s="1678"/>
      <c r="C2546" s="3771" t="s">
        <v>757</v>
      </c>
      <c r="D2546" s="3771"/>
      <c r="E2546" s="1904">
        <f>E2547</f>
        <v>0</v>
      </c>
      <c r="F2546" s="1904">
        <f>F2547</f>
        <v>0</v>
      </c>
      <c r="G2546" s="2715" t="e">
        <f t="shared" si="564"/>
        <v>#DIV/0!</v>
      </c>
      <c r="H2546" s="1635">
        <f t="shared" si="560"/>
        <v>0</v>
      </c>
    </row>
    <row r="2547" spans="1:17" ht="17.100000000000001" hidden="1" customHeight="1">
      <c r="A2547" s="1666"/>
      <c r="B2547" s="1678"/>
      <c r="C2547" s="2685" t="s">
        <v>766</v>
      </c>
      <c r="D2547" s="2686" t="s">
        <v>767</v>
      </c>
      <c r="E2547" s="1904"/>
      <c r="F2547" s="1904">
        <f>H2547</f>
        <v>0</v>
      </c>
      <c r="G2547" s="2716" t="e">
        <f t="shared" si="564"/>
        <v>#DIV/0!</v>
      </c>
      <c r="H2547" s="1635">
        <f t="shared" si="560"/>
        <v>0</v>
      </c>
    </row>
    <row r="2548" spans="1:17" ht="17.100000000000001" customHeight="1">
      <c r="A2548" s="1666"/>
      <c r="B2548" s="1678"/>
      <c r="C2548" s="2690"/>
      <c r="D2548" s="2690"/>
      <c r="E2548" s="1904"/>
      <c r="F2548" s="1904"/>
      <c r="G2548" s="2716"/>
      <c r="H2548" s="1635">
        <f t="shared" si="560"/>
        <v>0</v>
      </c>
    </row>
    <row r="2549" spans="1:17" ht="17.100000000000001" customHeight="1">
      <c r="A2549" s="1666"/>
      <c r="B2549" s="1678"/>
      <c r="C2549" s="3841" t="s">
        <v>770</v>
      </c>
      <c r="D2549" s="3841"/>
      <c r="E2549" s="1904">
        <f>SUM(E2550:E2551)</f>
        <v>24000</v>
      </c>
      <c r="F2549" s="1904">
        <f>SUM(F2550:F2551)</f>
        <v>15000</v>
      </c>
      <c r="G2549" s="2716">
        <f t="shared" si="564"/>
        <v>0.625</v>
      </c>
      <c r="H2549" s="1635">
        <f t="shared" si="560"/>
        <v>0</v>
      </c>
    </row>
    <row r="2550" spans="1:17" ht="17.100000000000001" hidden="1" customHeight="1">
      <c r="A2550" s="1666"/>
      <c r="B2550" s="1678"/>
      <c r="C2550" s="2717" t="s">
        <v>773</v>
      </c>
      <c r="D2550" s="2718" t="s">
        <v>774</v>
      </c>
      <c r="E2550" s="2692">
        <v>0</v>
      </c>
      <c r="F2550" s="1904">
        <f>H2550</f>
        <v>0</v>
      </c>
      <c r="G2550" s="2719" t="e">
        <f t="shared" si="564"/>
        <v>#DIV/0!</v>
      </c>
      <c r="H2550" s="1635">
        <f t="shared" si="560"/>
        <v>0</v>
      </c>
    </row>
    <row r="2551" spans="1:17" ht="17.100000000000001" customHeight="1">
      <c r="A2551" s="1666"/>
      <c r="B2551" s="1678"/>
      <c r="C2551" s="2720" t="s">
        <v>783</v>
      </c>
      <c r="D2551" s="2721" t="s">
        <v>784</v>
      </c>
      <c r="E2551" s="2692">
        <v>24000</v>
      </c>
      <c r="F2551" s="1904">
        <f>H2551</f>
        <v>15000</v>
      </c>
      <c r="G2551" s="2719">
        <f t="shared" si="564"/>
        <v>0.625</v>
      </c>
      <c r="H2551" s="1635">
        <f t="shared" si="560"/>
        <v>15000</v>
      </c>
      <c r="Q2551" s="1636">
        <v>15000</v>
      </c>
    </row>
    <row r="2552" spans="1:17" ht="17.100000000000001" customHeight="1">
      <c r="A2552" s="1666"/>
      <c r="B2552" s="1678"/>
      <c r="C2552" s="2722"/>
      <c r="D2552" s="2721"/>
      <c r="E2552" s="2692"/>
      <c r="F2552" s="2692"/>
      <c r="G2552" s="2719"/>
      <c r="H2552" s="1635">
        <f t="shared" si="560"/>
        <v>0</v>
      </c>
    </row>
    <row r="2553" spans="1:17" ht="17.100000000000001" customHeight="1">
      <c r="A2553" s="1666"/>
      <c r="B2553" s="1678"/>
      <c r="C2553" s="3847" t="s">
        <v>857</v>
      </c>
      <c r="D2553" s="3848"/>
      <c r="E2553" s="2723">
        <f>E2554</f>
        <v>8500</v>
      </c>
      <c r="F2553" s="2723">
        <f>F2554</f>
        <v>7000</v>
      </c>
      <c r="G2553" s="2719">
        <f t="shared" si="564"/>
        <v>0.82352941176470584</v>
      </c>
      <c r="H2553" s="1635">
        <f t="shared" ref="H2553:H2596" si="574">SUM(I2553:AE2553)</f>
        <v>0</v>
      </c>
    </row>
    <row r="2554" spans="1:17" ht="56.25" customHeight="1" thickBot="1">
      <c r="A2554" s="1792"/>
      <c r="B2554" s="3183"/>
      <c r="C2554" s="3120" t="s">
        <v>409</v>
      </c>
      <c r="D2554" s="3125" t="s">
        <v>876</v>
      </c>
      <c r="E2554" s="1694">
        <v>8500</v>
      </c>
      <c r="F2554" s="1694">
        <f>H2554</f>
        <v>7000</v>
      </c>
      <c r="G2554" s="2719">
        <f t="shared" si="564"/>
        <v>0.82352941176470584</v>
      </c>
      <c r="H2554" s="1635">
        <f t="shared" si="574"/>
        <v>7000</v>
      </c>
      <c r="Q2554" s="1636">
        <v>7000</v>
      </c>
    </row>
    <row r="2555" spans="1:17" ht="17.100000000000001" customHeight="1" thickBot="1">
      <c r="A2555" s="1660" t="s">
        <v>124</v>
      </c>
      <c r="B2555" s="1765"/>
      <c r="C2555" s="1766"/>
      <c r="D2555" s="1767" t="s">
        <v>144</v>
      </c>
      <c r="E2555" s="1768">
        <f>E2556+E2567+E2590+E2563</f>
        <v>3837313</v>
      </c>
      <c r="F2555" s="1768">
        <f>F2556+F2567+F2590+F2563</f>
        <v>20800400</v>
      </c>
      <c r="G2555" s="1769">
        <f t="shared" si="564"/>
        <v>5.4205638163996523</v>
      </c>
      <c r="H2555" s="1635">
        <f t="shared" si="574"/>
        <v>0</v>
      </c>
    </row>
    <row r="2556" spans="1:17" ht="17.100000000000001" customHeight="1" thickBot="1">
      <c r="A2556" s="2014"/>
      <c r="B2556" s="1734" t="s">
        <v>145</v>
      </c>
      <c r="C2556" s="1735"/>
      <c r="D2556" s="1736" t="s">
        <v>146</v>
      </c>
      <c r="E2556" s="1814">
        <f>E2557+E2560</f>
        <v>81350</v>
      </c>
      <c r="F2556" s="1814">
        <f>F2557+F2560</f>
        <v>15000000</v>
      </c>
      <c r="G2556" s="1815">
        <f t="shared" si="564"/>
        <v>184.38844499078058</v>
      </c>
      <c r="H2556" s="1635">
        <f t="shared" si="574"/>
        <v>0</v>
      </c>
    </row>
    <row r="2557" spans="1:17" ht="17.100000000000001" hidden="1" customHeight="1">
      <c r="A2557" s="1666"/>
      <c r="B2557" s="3467"/>
      <c r="C2557" s="3472" t="s">
        <v>755</v>
      </c>
      <c r="D2557" s="3472"/>
      <c r="E2557" s="1672">
        <f>E2558</f>
        <v>9600</v>
      </c>
      <c r="F2557" s="1672">
        <f>F2558</f>
        <v>0</v>
      </c>
      <c r="G2557" s="1673">
        <f t="shared" si="564"/>
        <v>0</v>
      </c>
      <c r="H2557" s="1635">
        <f t="shared" si="574"/>
        <v>0</v>
      </c>
    </row>
    <row r="2558" spans="1:17" ht="17.100000000000001" hidden="1" customHeight="1">
      <c r="A2558" s="1666"/>
      <c r="B2558" s="3467"/>
      <c r="C2558" s="3830" t="s">
        <v>857</v>
      </c>
      <c r="D2558" s="3830"/>
      <c r="E2558" s="2723">
        <f>E2559</f>
        <v>9600</v>
      </c>
      <c r="F2558" s="2723">
        <f>F2559</f>
        <v>0</v>
      </c>
      <c r="G2558" s="2724">
        <f t="shared" si="564"/>
        <v>0</v>
      </c>
      <c r="H2558" s="1635">
        <f t="shared" si="574"/>
        <v>0</v>
      </c>
    </row>
    <row r="2559" spans="1:17" ht="34.5" hidden="1" customHeight="1">
      <c r="A2559" s="1666"/>
      <c r="B2559" s="1698"/>
      <c r="C2559" s="2685" t="s">
        <v>394</v>
      </c>
      <c r="D2559" s="2686" t="s">
        <v>978</v>
      </c>
      <c r="E2559" s="2723">
        <v>9600</v>
      </c>
      <c r="F2559" s="2723">
        <f>H2559</f>
        <v>0</v>
      </c>
      <c r="G2559" s="2724">
        <f t="shared" si="564"/>
        <v>0</v>
      </c>
      <c r="H2559" s="1635">
        <f t="shared" si="574"/>
        <v>0</v>
      </c>
    </row>
    <row r="2560" spans="1:17" ht="17.100000000000001" customHeight="1">
      <c r="A2560" s="2014"/>
      <c r="B2560" s="1678"/>
      <c r="C2560" s="3472" t="s">
        <v>810</v>
      </c>
      <c r="D2560" s="3850"/>
      <c r="E2560" s="2283">
        <f>E2561</f>
        <v>71750</v>
      </c>
      <c r="F2560" s="2283">
        <f t="shared" ref="F2560:F2561" si="575">F2561</f>
        <v>15000000</v>
      </c>
      <c r="G2560" s="2725">
        <f t="shared" si="564"/>
        <v>209.05923344947735</v>
      </c>
      <c r="H2560" s="1635">
        <f t="shared" si="574"/>
        <v>0</v>
      </c>
    </row>
    <row r="2561" spans="1:29" ht="17.100000000000001" customHeight="1">
      <c r="A2561" s="2014"/>
      <c r="B2561" s="1678"/>
      <c r="C2561" s="3842" t="s">
        <v>811</v>
      </c>
      <c r="D2561" s="3839"/>
      <c r="E2561" s="2726">
        <f>E2562</f>
        <v>71750</v>
      </c>
      <c r="F2561" s="2726">
        <f t="shared" si="575"/>
        <v>15000000</v>
      </c>
      <c r="G2561" s="2727">
        <f t="shared" si="564"/>
        <v>209.05923344947735</v>
      </c>
      <c r="H2561" s="1635">
        <f t="shared" si="574"/>
        <v>0</v>
      </c>
    </row>
    <row r="2562" spans="1:29" ht="40.5" customHeight="1" thickBot="1">
      <c r="A2562" s="2014"/>
      <c r="B2562" s="1678"/>
      <c r="C2562" s="2728" t="s">
        <v>938</v>
      </c>
      <c r="D2562" s="1720" t="s">
        <v>939</v>
      </c>
      <c r="E2562" s="1970">
        <v>71750</v>
      </c>
      <c r="F2562" s="1970">
        <f>H2562</f>
        <v>15000000</v>
      </c>
      <c r="G2562" s="2729">
        <f t="shared" si="564"/>
        <v>209.05923344947735</v>
      </c>
      <c r="H2562" s="1635">
        <f t="shared" si="574"/>
        <v>15000000</v>
      </c>
      <c r="AC2562" s="1636">
        <v>15000000</v>
      </c>
    </row>
    <row r="2563" spans="1:29" ht="17.100000000000001" hidden="1" customHeight="1" thickBot="1">
      <c r="A2563" s="2014"/>
      <c r="B2563" s="1734" t="s">
        <v>1258</v>
      </c>
      <c r="C2563" s="1735"/>
      <c r="D2563" s="1736" t="s">
        <v>716</v>
      </c>
      <c r="E2563" s="1814">
        <f t="shared" ref="E2563:F2565" si="576">E2564</f>
        <v>0</v>
      </c>
      <c r="F2563" s="1814">
        <f t="shared" si="576"/>
        <v>0</v>
      </c>
      <c r="G2563" s="1815" t="e">
        <f t="shared" si="564"/>
        <v>#DIV/0!</v>
      </c>
      <c r="H2563" s="1635">
        <f t="shared" si="574"/>
        <v>0</v>
      </c>
    </row>
    <row r="2564" spans="1:29" ht="17.100000000000001" hidden="1" customHeight="1">
      <c r="A2564" s="2014"/>
      <c r="B2564" s="1678"/>
      <c r="C2564" s="3472" t="s">
        <v>810</v>
      </c>
      <c r="D2564" s="3850"/>
      <c r="E2564" s="2283">
        <f t="shared" si="576"/>
        <v>0</v>
      </c>
      <c r="F2564" s="2283">
        <f t="shared" si="576"/>
        <v>0</v>
      </c>
      <c r="G2564" s="2725" t="e">
        <f t="shared" si="564"/>
        <v>#DIV/0!</v>
      </c>
      <c r="H2564" s="1635">
        <f t="shared" si="574"/>
        <v>0</v>
      </c>
    </row>
    <row r="2565" spans="1:29" ht="17.100000000000001" hidden="1" customHeight="1">
      <c r="A2565" s="2014"/>
      <c r="B2565" s="1678"/>
      <c r="C2565" s="3851" t="s">
        <v>811</v>
      </c>
      <c r="D2565" s="3852"/>
      <c r="E2565" s="2730">
        <f t="shared" si="576"/>
        <v>0</v>
      </c>
      <c r="F2565" s="2730">
        <f t="shared" si="576"/>
        <v>0</v>
      </c>
      <c r="G2565" s="2731" t="e">
        <f t="shared" si="564"/>
        <v>#DIV/0!</v>
      </c>
      <c r="H2565" s="1635">
        <f t="shared" si="574"/>
        <v>0</v>
      </c>
    </row>
    <row r="2566" spans="1:29" ht="40.5" hidden="1" customHeight="1" thickBot="1">
      <c r="A2566" s="2014"/>
      <c r="B2566" s="1678"/>
      <c r="C2566" s="2732" t="s">
        <v>938</v>
      </c>
      <c r="D2566" s="1720" t="s">
        <v>939</v>
      </c>
      <c r="E2566" s="1970"/>
      <c r="F2566" s="1970">
        <f>H2566</f>
        <v>0</v>
      </c>
      <c r="G2566" s="2733" t="e">
        <f t="shared" si="564"/>
        <v>#DIV/0!</v>
      </c>
      <c r="H2566" s="1635">
        <f t="shared" si="574"/>
        <v>0</v>
      </c>
    </row>
    <row r="2567" spans="1:29" ht="17.100000000000001" customHeight="1" thickBot="1">
      <c r="A2567" s="3853"/>
      <c r="B2567" s="1734" t="s">
        <v>125</v>
      </c>
      <c r="C2567" s="2734"/>
      <c r="D2567" s="2735" t="s">
        <v>716</v>
      </c>
      <c r="E2567" s="1737">
        <f>E2568+E2587</f>
        <v>3648211</v>
      </c>
      <c r="F2567" s="1737">
        <f>F2568+F2587</f>
        <v>5800400</v>
      </c>
      <c r="G2567" s="2243">
        <f t="shared" si="564"/>
        <v>1.5899299684146559</v>
      </c>
      <c r="H2567" s="1635">
        <f t="shared" si="574"/>
        <v>0</v>
      </c>
    </row>
    <row r="2568" spans="1:29" ht="17.100000000000001" customHeight="1">
      <c r="A2568" s="3853"/>
      <c r="B2568" s="2736"/>
      <c r="C2568" s="3662" t="s">
        <v>755</v>
      </c>
      <c r="D2568" s="3488"/>
      <c r="E2568" s="1672">
        <f t="shared" ref="E2568:F2568" si="577">E2569+E2578+E2583</f>
        <v>3648211</v>
      </c>
      <c r="F2568" s="2258">
        <f t="shared" si="577"/>
        <v>5800400</v>
      </c>
      <c r="G2568" s="2244">
        <f t="shared" si="564"/>
        <v>1.5899299684146559</v>
      </c>
      <c r="H2568" s="1635">
        <f t="shared" si="574"/>
        <v>0</v>
      </c>
    </row>
    <row r="2569" spans="1:29" ht="17.100000000000001" customHeight="1">
      <c r="A2569" s="3853"/>
      <c r="B2569" s="1683"/>
      <c r="C2569" s="3854" t="s">
        <v>756</v>
      </c>
      <c r="D2569" s="3855"/>
      <c r="E2569" s="2737">
        <f t="shared" ref="E2569:F2569" si="578">E2570+E2574</f>
        <v>86410</v>
      </c>
      <c r="F2569" s="2738">
        <f t="shared" si="578"/>
        <v>101187</v>
      </c>
      <c r="G2569" s="2739">
        <f t="shared" si="564"/>
        <v>1.1710102997338272</v>
      </c>
      <c r="H2569" s="1635">
        <f t="shared" si="574"/>
        <v>0</v>
      </c>
    </row>
    <row r="2570" spans="1:29" ht="17.100000000000001" customHeight="1">
      <c r="A2570" s="3853"/>
      <c r="B2570" s="1683"/>
      <c r="C2570" s="3856" t="s">
        <v>757</v>
      </c>
      <c r="D2570" s="3857"/>
      <c r="E2570" s="2740">
        <f t="shared" ref="E2570:F2570" si="579">SUM(E2571:E2572)</f>
        <v>10300</v>
      </c>
      <c r="F2570" s="2741">
        <f t="shared" si="579"/>
        <v>10815</v>
      </c>
      <c r="G2570" s="2742">
        <f t="shared" si="564"/>
        <v>1.05</v>
      </c>
      <c r="H2570" s="1635">
        <f t="shared" si="574"/>
        <v>0</v>
      </c>
    </row>
    <row r="2571" spans="1:29" ht="17.100000000000001" customHeight="1">
      <c r="A2571" s="3853"/>
      <c r="B2571" s="1683"/>
      <c r="C2571" s="2743" t="s">
        <v>762</v>
      </c>
      <c r="D2571" s="2744" t="s">
        <v>763</v>
      </c>
      <c r="E2571" s="2740">
        <v>8652</v>
      </c>
      <c r="F2571" s="2740">
        <f>H2571</f>
        <v>9085</v>
      </c>
      <c r="G2571" s="2742">
        <f t="shared" si="564"/>
        <v>1.050046232085067</v>
      </c>
      <c r="H2571" s="1635">
        <f t="shared" si="574"/>
        <v>9085</v>
      </c>
      <c r="AC2571" s="1636">
        <v>9085</v>
      </c>
    </row>
    <row r="2572" spans="1:29" ht="27.75" customHeight="1">
      <c r="A2572" s="3853"/>
      <c r="B2572" s="1683"/>
      <c r="C2572" s="2743" t="s">
        <v>764</v>
      </c>
      <c r="D2572" s="2744" t="s">
        <v>1440</v>
      </c>
      <c r="E2572" s="2740">
        <v>1648</v>
      </c>
      <c r="F2572" s="2740">
        <f>H2572</f>
        <v>1730</v>
      </c>
      <c r="G2572" s="2742">
        <f t="shared" si="564"/>
        <v>1.049757281553398</v>
      </c>
      <c r="H2572" s="1635">
        <f t="shared" si="574"/>
        <v>1730</v>
      </c>
      <c r="AC2572" s="1636">
        <v>1730</v>
      </c>
    </row>
    <row r="2573" spans="1:29" ht="17.100000000000001" customHeight="1">
      <c r="A2573" s="3853"/>
      <c r="B2573" s="1683"/>
      <c r="C2573" s="2293"/>
      <c r="D2573" s="1797"/>
      <c r="E2573" s="1798"/>
      <c r="F2573" s="1798"/>
      <c r="G2573" s="2745"/>
      <c r="H2573" s="1635">
        <f t="shared" si="574"/>
        <v>0</v>
      </c>
    </row>
    <row r="2574" spans="1:29" ht="17.100000000000001" customHeight="1">
      <c r="A2574" s="3853"/>
      <c r="B2574" s="1683"/>
      <c r="C2574" s="3858" t="s">
        <v>770</v>
      </c>
      <c r="D2574" s="3859"/>
      <c r="E2574" s="1749">
        <f t="shared" ref="E2574:F2574" si="580">SUM(E2575:E2576)</f>
        <v>76110</v>
      </c>
      <c r="F2574" s="1749">
        <f t="shared" si="580"/>
        <v>90372</v>
      </c>
      <c r="G2574" s="1750">
        <f t="shared" si="564"/>
        <v>1.187386677177769</v>
      </c>
      <c r="H2574" s="1635">
        <f t="shared" si="574"/>
        <v>0</v>
      </c>
    </row>
    <row r="2575" spans="1:29" ht="17.100000000000001" customHeight="1">
      <c r="A2575" s="3853"/>
      <c r="B2575" s="1683"/>
      <c r="C2575" s="2743" t="s">
        <v>773</v>
      </c>
      <c r="D2575" s="2744" t="s">
        <v>774</v>
      </c>
      <c r="E2575" s="2746">
        <v>15910</v>
      </c>
      <c r="F2575" s="2746">
        <f>H2575</f>
        <v>28366</v>
      </c>
      <c r="G2575" s="2747">
        <f t="shared" si="564"/>
        <v>1.7829038340666248</v>
      </c>
      <c r="H2575" s="1635">
        <f t="shared" si="574"/>
        <v>28366</v>
      </c>
      <c r="AC2575" s="1636">
        <v>28366</v>
      </c>
    </row>
    <row r="2576" spans="1:29" ht="17.100000000000001" customHeight="1">
      <c r="A2576" s="3853"/>
      <c r="B2576" s="1683"/>
      <c r="C2576" s="2748" t="s">
        <v>783</v>
      </c>
      <c r="D2576" s="2749" t="s">
        <v>784</v>
      </c>
      <c r="E2576" s="2750">
        <v>60200</v>
      </c>
      <c r="F2576" s="2746">
        <f>H2576</f>
        <v>62006</v>
      </c>
      <c r="G2576" s="2751">
        <f t="shared" si="564"/>
        <v>1.03</v>
      </c>
      <c r="H2576" s="1635">
        <f t="shared" si="574"/>
        <v>62006</v>
      </c>
      <c r="AC2576" s="1636">
        <v>62006</v>
      </c>
    </row>
    <row r="2577" spans="1:29" ht="17.100000000000001" customHeight="1">
      <c r="A2577" s="3853"/>
      <c r="B2577" s="1683"/>
      <c r="C2577" s="2671"/>
      <c r="D2577" s="2671"/>
      <c r="E2577" s="2752"/>
      <c r="F2577" s="2752"/>
      <c r="G2577" s="2753"/>
      <c r="H2577" s="1635">
        <f t="shared" si="574"/>
        <v>0</v>
      </c>
    </row>
    <row r="2578" spans="1:29" ht="17.100000000000001" customHeight="1">
      <c r="A2578" s="3853"/>
      <c r="B2578" s="1683"/>
      <c r="C2578" s="3860" t="s">
        <v>1259</v>
      </c>
      <c r="D2578" s="3861"/>
      <c r="E2578" s="2754">
        <f>SUM(E2579:E2581)</f>
        <v>2976001</v>
      </c>
      <c r="F2578" s="2754">
        <f t="shared" ref="F2578" si="581">SUM(F2579:F2581)</f>
        <v>4611871</v>
      </c>
      <c r="G2578" s="2755">
        <f t="shared" si="564"/>
        <v>1.5496873152932409</v>
      </c>
      <c r="H2578" s="1635">
        <f t="shared" si="574"/>
        <v>0</v>
      </c>
    </row>
    <row r="2579" spans="1:29" ht="52.5" customHeight="1">
      <c r="A2579" s="3853"/>
      <c r="B2579" s="1683"/>
      <c r="C2579" s="2743" t="s">
        <v>409</v>
      </c>
      <c r="D2579" s="2744" t="s">
        <v>876</v>
      </c>
      <c r="E2579" s="2754">
        <v>351630</v>
      </c>
      <c r="F2579" s="2754">
        <f>H2579</f>
        <v>900000</v>
      </c>
      <c r="G2579" s="2755">
        <f t="shared" si="564"/>
        <v>2.5595085743537243</v>
      </c>
      <c r="H2579" s="1635">
        <f t="shared" si="574"/>
        <v>900000</v>
      </c>
      <c r="AC2579" s="1636">
        <v>900000</v>
      </c>
    </row>
    <row r="2580" spans="1:29" ht="32.25" hidden="1" customHeight="1">
      <c r="A2580" s="3853"/>
      <c r="B2580" s="1683"/>
      <c r="C2580" s="2748" t="s">
        <v>394</v>
      </c>
      <c r="D2580" s="2749" t="s">
        <v>914</v>
      </c>
      <c r="E2580" s="2750"/>
      <c r="F2580" s="2754">
        <f t="shared" ref="F2580:F2581" si="582">H2580</f>
        <v>0</v>
      </c>
      <c r="G2580" s="2751" t="e">
        <f t="shared" si="564"/>
        <v>#DIV/0!</v>
      </c>
      <c r="H2580" s="1635">
        <f t="shared" si="574"/>
        <v>0</v>
      </c>
    </row>
    <row r="2581" spans="1:29" ht="25.5">
      <c r="A2581" s="3853"/>
      <c r="B2581" s="1683"/>
      <c r="C2581" s="2748" t="s">
        <v>1260</v>
      </c>
      <c r="D2581" s="2749" t="s">
        <v>1261</v>
      </c>
      <c r="E2581" s="2750">
        <v>2624371</v>
      </c>
      <c r="F2581" s="2754">
        <f t="shared" si="582"/>
        <v>3711871</v>
      </c>
      <c r="G2581" s="2751">
        <f t="shared" si="564"/>
        <v>1.414385008826877</v>
      </c>
      <c r="H2581" s="1635">
        <f t="shared" si="574"/>
        <v>3711871</v>
      </c>
      <c r="AC2581" s="1636">
        <v>3711871</v>
      </c>
    </row>
    <row r="2582" spans="1:29" ht="17.100000000000001" customHeight="1">
      <c r="A2582" s="3853"/>
      <c r="B2582" s="1683"/>
      <c r="C2582" s="3871"/>
      <c r="D2582" s="3872"/>
      <c r="E2582" s="2754"/>
      <c r="F2582" s="2754"/>
      <c r="G2582" s="2755"/>
      <c r="H2582" s="1635">
        <f t="shared" si="574"/>
        <v>0</v>
      </c>
    </row>
    <row r="2583" spans="1:29" ht="17.100000000000001" customHeight="1">
      <c r="A2583" s="3853"/>
      <c r="B2583" s="1683"/>
      <c r="C2583" s="3873" t="s">
        <v>807</v>
      </c>
      <c r="D2583" s="3874"/>
      <c r="E2583" s="2756">
        <f>SUM(E2584:E2585)</f>
        <v>585800</v>
      </c>
      <c r="F2583" s="2756">
        <f t="shared" ref="F2583" si="583">SUM(F2584:F2585)</f>
        <v>1087342</v>
      </c>
      <c r="G2583" s="2757">
        <f t="shared" si="564"/>
        <v>1.8561659269375212</v>
      </c>
      <c r="H2583" s="1635">
        <f t="shared" si="574"/>
        <v>0</v>
      </c>
    </row>
    <row r="2584" spans="1:29" ht="17.100000000000001" customHeight="1">
      <c r="A2584" s="3853"/>
      <c r="B2584" s="1683"/>
      <c r="C2584" s="2748" t="s">
        <v>1136</v>
      </c>
      <c r="D2584" s="2749" t="s">
        <v>1137</v>
      </c>
      <c r="E2584" s="2750">
        <v>96200</v>
      </c>
      <c r="F2584" s="2750">
        <f>H2584</f>
        <v>193354</v>
      </c>
      <c r="G2584" s="2751">
        <f t="shared" si="564"/>
        <v>2.0099168399168401</v>
      </c>
      <c r="H2584" s="1635">
        <f t="shared" si="574"/>
        <v>193354</v>
      </c>
      <c r="AC2584" s="1636">
        <v>193354</v>
      </c>
    </row>
    <row r="2585" spans="1:29" ht="17.100000000000001" customHeight="1" thickBot="1">
      <c r="A2585" s="3853"/>
      <c r="B2585" s="1683"/>
      <c r="C2585" s="2758" t="s">
        <v>997</v>
      </c>
      <c r="D2585" s="2759" t="s">
        <v>998</v>
      </c>
      <c r="E2585" s="2756">
        <v>489600</v>
      </c>
      <c r="F2585" s="2750">
        <f>H2585</f>
        <v>893988</v>
      </c>
      <c r="G2585" s="2760">
        <f t="shared" si="564"/>
        <v>1.8259558823529412</v>
      </c>
      <c r="H2585" s="1635">
        <f t="shared" si="574"/>
        <v>893988</v>
      </c>
      <c r="AC2585" s="1636">
        <v>893988</v>
      </c>
    </row>
    <row r="2586" spans="1:29" ht="17.100000000000001" hidden="1" customHeight="1">
      <c r="A2586" s="2021"/>
      <c r="B2586" s="1683"/>
      <c r="C2586" s="1960"/>
      <c r="D2586" s="1961"/>
      <c r="E2586" s="1688"/>
      <c r="F2586" s="2750"/>
      <c r="G2586" s="2207"/>
      <c r="H2586" s="1635">
        <f t="shared" si="574"/>
        <v>0</v>
      </c>
    </row>
    <row r="2587" spans="1:29" ht="17.100000000000001" hidden="1" customHeight="1">
      <c r="A2587" s="2021"/>
      <c r="B2587" s="1683"/>
      <c r="C2587" s="3875" t="s">
        <v>810</v>
      </c>
      <c r="D2587" s="3876"/>
      <c r="E2587" s="2761">
        <f>E2588</f>
        <v>0</v>
      </c>
      <c r="F2587" s="2761">
        <f t="shared" ref="F2587:F2588" si="584">F2588</f>
        <v>0</v>
      </c>
      <c r="G2587" s="2762" t="e">
        <f t="shared" ref="G2587:G2589" si="585">F2587/E2587</f>
        <v>#DIV/0!</v>
      </c>
      <c r="H2587" s="1635">
        <f t="shared" si="574"/>
        <v>0</v>
      </c>
    </row>
    <row r="2588" spans="1:29" ht="17.100000000000001" hidden="1" customHeight="1">
      <c r="A2588" s="2021"/>
      <c r="B2588" s="1683"/>
      <c r="C2588" s="3686" t="s">
        <v>811</v>
      </c>
      <c r="D2588" s="3486"/>
      <c r="E2588" s="2763">
        <f>E2589</f>
        <v>0</v>
      </c>
      <c r="F2588" s="2763">
        <f t="shared" si="584"/>
        <v>0</v>
      </c>
      <c r="G2588" s="2707" t="e">
        <f t="shared" si="585"/>
        <v>#DIV/0!</v>
      </c>
      <c r="H2588" s="1635">
        <f t="shared" si="574"/>
        <v>0</v>
      </c>
    </row>
    <row r="2589" spans="1:29" ht="45" hidden="1" customHeight="1" thickBot="1">
      <c r="A2589" s="2021"/>
      <c r="B2589" s="1683"/>
      <c r="C2589" s="2764" t="s">
        <v>938</v>
      </c>
      <c r="D2589" s="1720" t="s">
        <v>939</v>
      </c>
      <c r="E2589" s="1970"/>
      <c r="F2589" s="2750">
        <f>H2589</f>
        <v>0</v>
      </c>
      <c r="G2589" s="2733" t="e">
        <f t="shared" si="585"/>
        <v>#DIV/0!</v>
      </c>
      <c r="H2589" s="1635">
        <f t="shared" si="574"/>
        <v>0</v>
      </c>
    </row>
    <row r="2590" spans="1:29" ht="17.100000000000001" hidden="1" customHeight="1" thickBot="1">
      <c r="A2590" s="2021"/>
      <c r="B2590" s="1734" t="s">
        <v>1262</v>
      </c>
      <c r="C2590" s="2734"/>
      <c r="D2590" s="2735" t="s">
        <v>11</v>
      </c>
      <c r="E2590" s="1814">
        <f>E2591+E2594</f>
        <v>107752</v>
      </c>
      <c r="F2590" s="1814">
        <f>F2591+F2594</f>
        <v>0</v>
      </c>
      <c r="G2590" s="1815">
        <f t="shared" si="564"/>
        <v>0</v>
      </c>
      <c r="H2590" s="1635">
        <f t="shared" si="574"/>
        <v>0</v>
      </c>
    </row>
    <row r="2591" spans="1:29" ht="17.100000000000001" hidden="1" customHeight="1">
      <c r="A2591" s="1666"/>
      <c r="B2591" s="3467"/>
      <c r="C2591" s="3472" t="s">
        <v>755</v>
      </c>
      <c r="D2591" s="3472"/>
      <c r="E2591" s="1672">
        <f>E2592</f>
        <v>24000</v>
      </c>
      <c r="F2591" s="1672">
        <f>F2592</f>
        <v>0</v>
      </c>
      <c r="G2591" s="1673">
        <f t="shared" si="564"/>
        <v>0</v>
      </c>
      <c r="H2591" s="1635">
        <f t="shared" si="574"/>
        <v>0</v>
      </c>
    </row>
    <row r="2592" spans="1:29" ht="17.100000000000001" hidden="1" customHeight="1">
      <c r="A2592" s="1666"/>
      <c r="B2592" s="3467"/>
      <c r="C2592" s="3877" t="s">
        <v>857</v>
      </c>
      <c r="D2592" s="3877"/>
      <c r="E2592" s="2756">
        <f>E2593</f>
        <v>24000</v>
      </c>
      <c r="F2592" s="2756">
        <f>F2593</f>
        <v>0</v>
      </c>
      <c r="G2592" s="2757">
        <f t="shared" si="564"/>
        <v>0</v>
      </c>
      <c r="H2592" s="1635">
        <f t="shared" si="574"/>
        <v>0</v>
      </c>
    </row>
    <row r="2593" spans="1:31" ht="33.75" hidden="1" customHeight="1">
      <c r="A2593" s="1666"/>
      <c r="B2593" s="1698"/>
      <c r="C2593" s="2743" t="s">
        <v>394</v>
      </c>
      <c r="D2593" s="2744" t="s">
        <v>978</v>
      </c>
      <c r="E2593" s="2756">
        <v>24000</v>
      </c>
      <c r="F2593" s="2756">
        <f>H2593</f>
        <v>0</v>
      </c>
      <c r="G2593" s="2757">
        <f t="shared" si="564"/>
        <v>0</v>
      </c>
      <c r="H2593" s="1635">
        <f t="shared" si="574"/>
        <v>0</v>
      </c>
    </row>
    <row r="2594" spans="1:31" ht="17.100000000000001" hidden="1" customHeight="1">
      <c r="A2594" s="2021"/>
      <c r="B2594" s="1683"/>
      <c r="C2594" s="3472" t="s">
        <v>810</v>
      </c>
      <c r="D2594" s="3850"/>
      <c r="E2594" s="1822">
        <f>E2595</f>
        <v>83752</v>
      </c>
      <c r="F2594" s="1822">
        <f t="shared" ref="F2594:F2595" si="586">F2595</f>
        <v>0</v>
      </c>
      <c r="G2594" s="1891">
        <f t="shared" si="564"/>
        <v>0</v>
      </c>
      <c r="H2594" s="1635">
        <f t="shared" si="574"/>
        <v>0</v>
      </c>
    </row>
    <row r="2595" spans="1:31" ht="17.100000000000001" hidden="1" customHeight="1">
      <c r="A2595" s="2021"/>
      <c r="B2595" s="1683"/>
      <c r="C2595" s="3851" t="s">
        <v>811</v>
      </c>
      <c r="D2595" s="3852"/>
      <c r="E2595" s="2750">
        <f>E2596</f>
        <v>83752</v>
      </c>
      <c r="F2595" s="2750">
        <f t="shared" si="586"/>
        <v>0</v>
      </c>
      <c r="G2595" s="2765">
        <f t="shared" si="564"/>
        <v>0</v>
      </c>
      <c r="H2595" s="1635">
        <f t="shared" si="574"/>
        <v>0</v>
      </c>
    </row>
    <row r="2596" spans="1:31" ht="45" hidden="1" customHeight="1" thickBot="1">
      <c r="A2596" s="1666"/>
      <c r="B2596" s="2766"/>
      <c r="C2596" s="2764" t="s">
        <v>938</v>
      </c>
      <c r="D2596" s="1720" t="s">
        <v>939</v>
      </c>
      <c r="E2596" s="1694">
        <v>83752</v>
      </c>
      <c r="F2596" s="1694">
        <f>H2596</f>
        <v>0</v>
      </c>
      <c r="G2596" s="1695">
        <f t="shared" si="564"/>
        <v>0</v>
      </c>
      <c r="H2596" s="1635">
        <f t="shared" si="574"/>
        <v>0</v>
      </c>
    </row>
    <row r="2597" spans="1:31" ht="17.100000000000001" customHeight="1" thickBot="1">
      <c r="A2597" s="3862" t="s">
        <v>1263</v>
      </c>
      <c r="B2597" s="3863"/>
      <c r="C2597" s="3863"/>
      <c r="D2597" s="3864"/>
      <c r="E2597" s="1768">
        <f>E10+E181+E214+E255+E267+E464+E546+E581+E665+E706+E781+E1180+E1231+E1240+E1250+E1597+E1624+E1747+E1911+E2046+E2131+E2229+E2334+E2500+E2555+E1173</f>
        <v>1432054502</v>
      </c>
      <c r="F2597" s="1768">
        <f>F10+F181+F214+F255+F267+F464+F546+F581+F665+F706+F781+F1180+F1231+F1240+F1250+F1597+F1624+F1747+F1911+F2046+F2131+F2229+F2334+F2500+F2555+F1173</f>
        <v>1561853219</v>
      </c>
      <c r="G2597" s="2767">
        <f>F2597/E2597</f>
        <v>1.0906381124592142</v>
      </c>
      <c r="H2597" s="1635">
        <f>SUM(I2597:AE2597)</f>
        <v>1561853219</v>
      </c>
      <c r="I2597" s="1636">
        <f>SUM(I12:I2596)-I913-I916-I917</f>
        <v>127116738</v>
      </c>
      <c r="J2597" s="1636">
        <f>SUM(J12:J2596)</f>
        <v>18747646</v>
      </c>
      <c r="K2597" s="1636">
        <f>SUM(K12:K2596)</f>
        <v>129981667</v>
      </c>
      <c r="L2597" s="1636">
        <f>L10</f>
        <v>71000</v>
      </c>
      <c r="M2597" s="1636">
        <f>SUM(M12:M2596)</f>
        <v>8144</v>
      </c>
      <c r="N2597" s="1636">
        <f>SUM(N12:N2596)</f>
        <v>15450</v>
      </c>
      <c r="O2597" s="1636">
        <f>O10</f>
        <v>25915414</v>
      </c>
      <c r="P2597" s="1636">
        <f>P10</f>
        <v>250000</v>
      </c>
      <c r="Q2597" s="1636">
        <f>SUM(Q12:Q2596)</f>
        <v>1789777</v>
      </c>
      <c r="R2597" s="1636">
        <f>SUM(R12:R2596)-R700-R702</f>
        <v>38285213</v>
      </c>
      <c r="S2597" s="1636">
        <f>SUM(S12:S2596)</f>
        <v>10565308</v>
      </c>
      <c r="T2597" s="1636">
        <f t="shared" ref="T2597:AE2597" si="587">T10</f>
        <v>1650000</v>
      </c>
      <c r="U2597" s="1636">
        <f t="shared" si="587"/>
        <v>494000</v>
      </c>
      <c r="V2597" s="1636">
        <f t="shared" si="587"/>
        <v>12520706</v>
      </c>
      <c r="W2597" s="1636">
        <f t="shared" si="587"/>
        <v>70268622</v>
      </c>
      <c r="X2597" s="1636">
        <f t="shared" si="587"/>
        <v>37674538</v>
      </c>
      <c r="Y2597" s="1636">
        <f t="shared" si="587"/>
        <v>1857675</v>
      </c>
      <c r="Z2597" s="1636">
        <f t="shared" si="587"/>
        <v>1372829</v>
      </c>
      <c r="AA2597" s="1636">
        <f t="shared" si="587"/>
        <v>797640866</v>
      </c>
      <c r="AB2597" s="1636">
        <f t="shared" si="587"/>
        <v>25231153</v>
      </c>
      <c r="AC2597" s="1636">
        <f t="shared" si="587"/>
        <v>80804012</v>
      </c>
      <c r="AD2597" s="1636">
        <f t="shared" si="587"/>
        <v>93544461</v>
      </c>
      <c r="AE2597" s="1636">
        <f t="shared" si="587"/>
        <v>86048000</v>
      </c>
    </row>
    <row r="2598" spans="1:31" ht="12.75" customHeight="1" thickBot="1">
      <c r="A2598" s="3865"/>
      <c r="B2598" s="3866"/>
      <c r="C2598" s="3866"/>
      <c r="D2598" s="3866"/>
      <c r="E2598" s="2768"/>
      <c r="F2598" s="2768"/>
      <c r="G2598" s="2757"/>
    </row>
    <row r="2599" spans="1:31" ht="17.100000000000001" customHeight="1" thickBot="1">
      <c r="A2599" s="3867" t="s">
        <v>1</v>
      </c>
      <c r="B2599" s="3868"/>
      <c r="C2599" s="3868"/>
      <c r="D2599" s="3868"/>
      <c r="E2599" s="2769"/>
      <c r="F2599" s="2769"/>
      <c r="G2599" s="2770"/>
    </row>
    <row r="2600" spans="1:31" ht="17.25" customHeight="1" thickBot="1">
      <c r="A2600" s="3869" t="s">
        <v>1264</v>
      </c>
      <c r="B2600" s="3870"/>
      <c r="C2600" s="3870"/>
      <c r="D2600" s="3870"/>
      <c r="E2600" s="2771">
        <f>E2601+E2604+E2605+E2606+E2607+E2608</f>
        <v>776615496</v>
      </c>
      <c r="F2600" s="2771">
        <f>F2601+F2604+F2605+F2606+F2607+F2608</f>
        <v>768711860</v>
      </c>
      <c r="G2600" s="2772">
        <f t="shared" ref="G2600:G2612" si="588">F2600/E2600</f>
        <v>0.98982297412206155</v>
      </c>
      <c r="H2600" s="1635">
        <f>H2597-F2597</f>
        <v>0</v>
      </c>
    </row>
    <row r="2601" spans="1:31" ht="17.100000000000001" customHeight="1">
      <c r="A2601" s="3887" t="s">
        <v>1265</v>
      </c>
      <c r="B2601" s="3888"/>
      <c r="C2601" s="3888"/>
      <c r="D2601" s="3889"/>
      <c r="E2601" s="2773">
        <f>E2602+E2603</f>
        <v>332288142</v>
      </c>
      <c r="F2601" s="2773">
        <f>F2602+F2603</f>
        <v>355833179</v>
      </c>
      <c r="G2601" s="2774">
        <f t="shared" si="588"/>
        <v>1.0708572892739578</v>
      </c>
    </row>
    <row r="2602" spans="1:31" ht="19.5" customHeight="1">
      <c r="A2602" s="3893" t="s">
        <v>1266</v>
      </c>
      <c r="B2602" s="3891"/>
      <c r="C2602" s="3891"/>
      <c r="D2602" s="3892"/>
      <c r="E2602" s="2775">
        <f>E14+E50+E75+E259+E343+E585+E621+E785+E803+E822+E926+E937+E1024+E1043+E1262+E1304+E1326+E1346+E1408+E1493+E1563+E1714+E1724+E1762+E1926+E2050+E2097+E2192+E2268+E2450+E2508+E2570+E1547+E160+E444+E503+E1009+E2546+E2233+E2283+E2294+E2305+E2315</f>
        <v>147610909</v>
      </c>
      <c r="F2602" s="2775">
        <f>F14+F50+F75+F259+F343+F585+F621+F785+F803+F822+F926+F937+F1024+F1043+F1262+F1304+F1326+F1346+F1408+F1493+F1563+F1714+F1724+F1762+F1926+F2050+F2097+F2192+F2268+F2450+F2508+F2570+F1547+F160+F444+F503+F1009+F2546+F2233+F2283+F2294+F2305+F2315</f>
        <v>167665717</v>
      </c>
      <c r="G2602" s="2776">
        <f t="shared" si="588"/>
        <v>1.1358626414257771</v>
      </c>
    </row>
    <row r="2603" spans="1:31" ht="18.75" customHeight="1">
      <c r="A2603" s="3890" t="s">
        <v>1267</v>
      </c>
      <c r="B2603" s="3891"/>
      <c r="C2603" s="3891"/>
      <c r="D2603" s="3892"/>
      <c r="E2603" s="2775">
        <f>E21+E57+E81+E140+E167+E265+E271+E335+E351+E432+E450+E468+E511+E551+E593+E629+E669+E793+E806+E830+E931+E942+E1030+E1051+E1244+E1272+E1310+E1335+E1356+E1418+E1503+E1569+E1601+E1613+E1647+E1675+E1687+E1696+E1709+E1719+E1727+E1770+E2106+E1934+E2059+E2135+E2200+E2222+E2244+E2273+E2288+E2299+E2309+E2321+E2338+E2455+E2516+E2549+E2574+E1553+E297+E1012+E2433+E1177+E1628+E2254+E1321+E723+E323+E714+E1218</f>
        <v>184677233</v>
      </c>
      <c r="F2603" s="2775">
        <f>F21+F57+F81+F140+F167+F265+F271+F335+F351+F432+F450+F468+F511+F551+F593+F629+F669+F793+F806+F830+F931+F942+F1030+F1051+F1244+F1272+F1310+F1335+F1356+F1418+F1503+F1569+F1601+F1613+F1647+F1675+F1687+F1696+F1709+F1719+F1727+F1770+F2106+F1934+F2059+F2135+F2200+F2222+F2244+F2273+F2288+F2299+F2309+F2321+F2338+F2455+F2516+F2549+F2574+F1553+F297+F1012+F2433+F1177+F1628+F2254+F1321+F723+F323+F714+F1218</f>
        <v>188167462</v>
      </c>
      <c r="G2603" s="2776">
        <f t="shared" si="588"/>
        <v>1.0188990756646219</v>
      </c>
    </row>
    <row r="2604" spans="1:31" ht="17.100000000000001" customHeight="1">
      <c r="A2604" s="3881" t="s">
        <v>1268</v>
      </c>
      <c r="B2604" s="3882"/>
      <c r="C2604" s="3882"/>
      <c r="D2604" s="3883"/>
      <c r="E2604" s="2775">
        <f>E144+E178+E217+E277+E326+E337+E410+E474+E797+E952+E1065+E1210+E1253+E1574+E1631+E1650+E1221+E1678+E1691+E1701+E1750+E1793+E1826+E1914+E2014+E2140+E2225+E2249+E2341+E2355+E2364+E2373+E2391+E2401+E2410+E2420+E2436+E2578+E520+E563+E709+E1202+E1190+E1376+E1616+E1666+E1804+E1808+E2239+E2327+E2459+E2553+E1183+E726+E574+E659+E921+E1730+E435+E455+E2125+E1658+E1754+E1822+E1229+E1296+E2558+E2592</f>
        <v>268174024</v>
      </c>
      <c r="F2604" s="2775">
        <f>F144+F178+F217+F277+F326+F337+F410+F474+F797+F952+F1065+F1210+F1253+F1574+F1631+F1650+F1221+F1678+F1691+F1701+F1750+F1793+F1826+F1914+F2014+F2140+F2225+F2249+F2341+F2355+F2364+F2373+F2391+F2401+F2410+F2420+F2436+F2578+F520+F563+F709+F1202+F1190+F1376+F1616+F1666+F1804+F1808+F2239+F2327+F2459+F2553+F1183+F726+F574+F659+F921+F1730+F435+F455+F2125+F1658+F1754+F1822+F1229+F1296+F2558+F2592</f>
        <v>266880511</v>
      </c>
      <c r="G2604" s="2776">
        <f t="shared" si="588"/>
        <v>0.99517659100345979</v>
      </c>
    </row>
    <row r="2605" spans="1:31" ht="17.100000000000001" customHeight="1">
      <c r="A2605" s="3881" t="s">
        <v>1269</v>
      </c>
      <c r="B2605" s="3882"/>
      <c r="C2605" s="3882"/>
      <c r="D2605" s="3883"/>
      <c r="E2605" s="2775">
        <f>E42+E70+E93+E377+E613+E645+E814+E856+E1070+E1289+E1317+E1342+E1379+E1433+E1523+E1583+E1584+E1585+E1609+E1796+E1956+E1957+E2069+E2218+E2346+E2347+E2535+E2584+E2585+E1038+E2441+E718+E2117</f>
        <v>3769547</v>
      </c>
      <c r="F2605" s="2775">
        <f>F42+F70+F93+F377+F613+F645+F814+F856+F1070+F1289+F1317+F1342+F1379+F1433+F1523+F1583+F1584+F1585+F1609+F1796+F1956+F1957+F2069+F2218+F2346+F2347+F2535+F2584+F2585+F1038+F2441+F718+F2117</f>
        <v>4334574</v>
      </c>
      <c r="G2605" s="2776">
        <f t="shared" si="588"/>
        <v>1.1498925467702088</v>
      </c>
    </row>
    <row r="2606" spans="1:31" ht="15.75" customHeight="1">
      <c r="A2606" s="3894" t="s">
        <v>1270</v>
      </c>
      <c r="B2606" s="3882"/>
      <c r="C2606" s="3882"/>
      <c r="D2606" s="3883"/>
      <c r="E2606" s="2775">
        <f>E104+E184+E223+E732+E858+E956+E1072+E1383+E1435+E1525+E1833+E1959+E2072+E2143+E2259+E2464+E647+E1605+E1734+E2022+E1587+E2539+E477+E379+E683+E523+E2160</f>
        <v>152076442</v>
      </c>
      <c r="F2606" s="2775">
        <f>F104+F184+F223+F732+F858+F956+F1072+F1383+F1435+F1525+F1833+F1959+F2072+F2143+F2259+F2464+F647+F1605+F1734+F2022+F1587+F2539+F477+F379+F683+F523+F2160</f>
        <v>122915950</v>
      </c>
      <c r="G2606" s="2776">
        <f t="shared" si="588"/>
        <v>0.8082510899354155</v>
      </c>
    </row>
    <row r="2607" spans="1:31" ht="17.100000000000001" customHeight="1">
      <c r="A2607" s="3881" t="s">
        <v>1271</v>
      </c>
      <c r="B2607" s="3882"/>
      <c r="C2607" s="3882"/>
      <c r="D2607" s="3883"/>
      <c r="E2607" s="2775">
        <f>E1239</f>
        <v>9570505</v>
      </c>
      <c r="F2607" s="2775">
        <f>F1239</f>
        <v>10995038</v>
      </c>
      <c r="G2607" s="2776">
        <f t="shared" si="588"/>
        <v>1.1488461685146185</v>
      </c>
    </row>
    <row r="2608" spans="1:31" ht="17.100000000000001" customHeight="1" thickBot="1">
      <c r="A2608" s="3881" t="s">
        <v>1272</v>
      </c>
      <c r="B2608" s="3882"/>
      <c r="C2608" s="3882"/>
      <c r="D2608" s="3883"/>
      <c r="E2608" s="2775">
        <f>E1235</f>
        <v>10736836</v>
      </c>
      <c r="F2608" s="2775">
        <f>F1235</f>
        <v>7752608</v>
      </c>
      <c r="G2608" s="2777">
        <f t="shared" si="588"/>
        <v>0.72205703803243337</v>
      </c>
    </row>
    <row r="2609" spans="1:7" ht="15.75" customHeight="1" thickBot="1">
      <c r="A2609" s="3884" t="s">
        <v>1273</v>
      </c>
      <c r="B2609" s="3885"/>
      <c r="C2609" s="3885"/>
      <c r="D2609" s="3886"/>
      <c r="E2609" s="2778">
        <f>E2610+E2612+E2613</f>
        <v>655439006</v>
      </c>
      <c r="F2609" s="2778">
        <f t="shared" ref="F2609" si="589">F2610+F2612+F2613</f>
        <v>793141359</v>
      </c>
      <c r="G2609" s="2772">
        <f t="shared" si="588"/>
        <v>1.2100917884646005</v>
      </c>
    </row>
    <row r="2610" spans="1:7" ht="17.100000000000001" customHeight="1">
      <c r="A2610" s="3887" t="s">
        <v>1274</v>
      </c>
      <c r="B2610" s="3888"/>
      <c r="C2610" s="3888"/>
      <c r="D2610" s="3889"/>
      <c r="E2610" s="2773">
        <f>E45+E96+E149+E239+E283+E383+E414+E418+E687+E903+E994+E1137+E1186+E1194+E1198+E1225+E1248+E1402+E1481+E1592+E1636+E1654+E1662+E1670+E1740+E1813+E1899+E2003+E2121+E2360+E2379+E2397+E2406+E2426+E2487+E2278+E772+E2415+E1292+E1532+E616+E301+E817+E155+E422+E438+E459+E498+E543+E567+E578+E1019+E1206+E1257+E1757+E1921+E2043+E2129+E2263+E2561+E2595+E2331+E1682+E1818+E1621+E663+E1299+E2588+E426+E2503+E2180+E2445+E1213+E1800+E1704+E655+E2350+E2369+E2565</f>
        <v>644525006</v>
      </c>
      <c r="F2610" s="2773">
        <f>F45+F96+F149+F239+F283+F383+F414+F418+F687+F903+F994+F1137+F1186+F1194+F1198+F1225+F1248+F1402+F1481+F1592+F1636+F1654+F1662+F1670+F1740+F1813+F1899+F2003+F2121+F2360+F2379+F2397+F2406+F2426+F2487+F2278+F772+F2415+F1292+F1532+F616+F301+F817+F155+F422+F438+F459+F498+F543+F567+F578+F1019+F1206+F1257+F1757+F1921+F2043+F2129+F2263+F2561+F2595+F2331+F1682+F1818+F1621+F663+F1299+F2588+F426+F2503+F2180+F2445+F1213+F1800+F1704+F655+F2350+F2369+F2565</f>
        <v>793141359</v>
      </c>
      <c r="G2610" s="2774">
        <f t="shared" si="588"/>
        <v>1.2305827572499182</v>
      </c>
    </row>
    <row r="2611" spans="1:7" ht="18" customHeight="1">
      <c r="A2611" s="3890" t="s">
        <v>1275</v>
      </c>
      <c r="B2611" s="3891"/>
      <c r="C2611" s="3891"/>
      <c r="D2611" s="3892"/>
      <c r="E2611" s="2775">
        <f>E100+E251+E289+E396+E698+E912+E1001+E1158+E2009+E2495+E778+E1487+E311+E1539+E2386+E2185+E1744+E1906</f>
        <v>416144197</v>
      </c>
      <c r="F2611" s="2775">
        <f>F100+F251+F289+F396+F698+F912+F1001+F1158+F2009+F2495+F778+F1487+F311+F1539+F2386+F2185+F1744+F1906</f>
        <v>378222843</v>
      </c>
      <c r="G2611" s="2776">
        <f t="shared" si="588"/>
        <v>0.9088744856389287</v>
      </c>
    </row>
    <row r="2612" spans="1:7" ht="17.100000000000001" customHeight="1">
      <c r="A2612" s="3881" t="s">
        <v>1276</v>
      </c>
      <c r="B2612" s="3882"/>
      <c r="C2612" s="3882"/>
      <c r="D2612" s="3883"/>
      <c r="E2612" s="2775">
        <f>E1155+E1642+E462</f>
        <v>10914000</v>
      </c>
      <c r="F2612" s="2775">
        <f>F1155+F1642+F462</f>
        <v>0</v>
      </c>
      <c r="G2612" s="2776">
        <f t="shared" si="588"/>
        <v>0</v>
      </c>
    </row>
    <row r="2613" spans="1:7" ht="17.100000000000001" customHeight="1" thickBot="1">
      <c r="A2613" s="3878" t="s">
        <v>1277</v>
      </c>
      <c r="B2613" s="3879"/>
      <c r="C2613" s="3879"/>
      <c r="D2613" s="3880"/>
      <c r="E2613" s="2779">
        <v>0</v>
      </c>
      <c r="F2613" s="2779">
        <v>0</v>
      </c>
      <c r="G2613" s="2780"/>
    </row>
    <row r="2614" spans="1:7" ht="17.100000000000001" customHeight="1">
      <c r="A2614" s="2781"/>
      <c r="B2614" s="2781"/>
      <c r="C2614" s="2781"/>
      <c r="D2614" s="2781"/>
      <c r="E2614" s="2782">
        <f>E2600+E2609</f>
        <v>1432054502</v>
      </c>
      <c r="F2614" s="2782"/>
      <c r="G2614" s="2783"/>
    </row>
    <row r="2615" spans="1:7" ht="17.100000000000001" customHeight="1">
      <c r="A2615" s="2781"/>
      <c r="B2615" s="2781"/>
      <c r="C2615" s="2781"/>
      <c r="D2615" s="2781"/>
      <c r="E2615" s="2784">
        <f>E2597-E2614</f>
        <v>0</v>
      </c>
      <c r="F2615" s="2784"/>
      <c r="G2615" s="2785"/>
    </row>
    <row r="2616" spans="1:7" ht="17.100000000000001" customHeight="1">
      <c r="A2616" s="2781"/>
      <c r="B2616" s="2781"/>
      <c r="C2616" s="2781"/>
      <c r="D2616" s="2781"/>
      <c r="E2616" s="2784"/>
      <c r="F2616" s="2784"/>
      <c r="G2616" s="2785"/>
    </row>
    <row r="2617" spans="1:7" ht="17.100000000000001" customHeight="1">
      <c r="A2617" s="2781"/>
      <c r="B2617" s="2781"/>
      <c r="C2617" s="2781"/>
      <c r="D2617" s="2781"/>
      <c r="E2617" s="2781"/>
      <c r="F2617" s="2781"/>
      <c r="G2617" s="2783"/>
    </row>
    <row r="2618" spans="1:7" ht="17.100000000000001" customHeight="1">
      <c r="A2618" s="2781"/>
      <c r="B2618" s="2781"/>
      <c r="C2618" s="2781"/>
      <c r="D2618" s="2781"/>
      <c r="E2618" s="2781"/>
      <c r="F2618" s="2781"/>
      <c r="G2618" s="2783"/>
    </row>
    <row r="2619" spans="1:7" ht="17.100000000000001" customHeight="1">
      <c r="A2619" s="2781"/>
      <c r="B2619" s="2781"/>
      <c r="C2619" s="2781"/>
      <c r="D2619" s="2781"/>
      <c r="E2619" s="2781"/>
      <c r="F2619" s="2781"/>
      <c r="G2619" s="2783"/>
    </row>
    <row r="2620" spans="1:7" ht="17.100000000000001" customHeight="1">
      <c r="A2620" s="2781"/>
      <c r="B2620" s="2781"/>
      <c r="C2620" s="2781"/>
      <c r="D2620" s="2781"/>
      <c r="E2620" s="2781"/>
      <c r="F2620" s="2781"/>
      <c r="G2620" s="2783"/>
    </row>
    <row r="2621" spans="1:7">
      <c r="A2621" s="2781"/>
      <c r="B2621" s="2781"/>
      <c r="C2621" s="2781"/>
      <c r="D2621" s="2781"/>
      <c r="E2621" s="2781"/>
      <c r="F2621" s="2781"/>
      <c r="G2621" s="2783"/>
    </row>
    <row r="2622" spans="1:7">
      <c r="A2622" s="2781"/>
      <c r="B2622" s="2781"/>
      <c r="C2622" s="2781"/>
      <c r="D2622" s="2781"/>
      <c r="E2622" s="2781"/>
      <c r="F2622" s="2781"/>
      <c r="G2622" s="2783"/>
    </row>
    <row r="2623" spans="1:7">
      <c r="C2623" s="1637"/>
    </row>
    <row r="2625" spans="3:3">
      <c r="C2625" s="1637"/>
    </row>
    <row r="2627" spans="3:3">
      <c r="C2627" s="1637"/>
    </row>
    <row r="2629" spans="3:3">
      <c r="C2629" s="1637"/>
    </row>
    <row r="2631" spans="3:3">
      <c r="C2631" s="1637"/>
    </row>
    <row r="2633" spans="3:3">
      <c r="C2633" s="1637"/>
    </row>
    <row r="2635" spans="3:3">
      <c r="C2635" s="1637"/>
    </row>
    <row r="2637" spans="3:3">
      <c r="C2637" s="1637"/>
    </row>
    <row r="2639" spans="3:3">
      <c r="C2639" s="1637"/>
    </row>
  </sheetData>
  <mergeCells count="745">
    <mergeCell ref="A2613:D2613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C2594:D2594"/>
    <mergeCell ref="C2595:D2595"/>
    <mergeCell ref="A2597:D2597"/>
    <mergeCell ref="A2598:D2598"/>
    <mergeCell ref="A2599:D2599"/>
    <mergeCell ref="A2600:D2600"/>
    <mergeCell ref="C2582:D2582"/>
    <mergeCell ref="C2583:D2583"/>
    <mergeCell ref="C2587:D2587"/>
    <mergeCell ref="C2588:D2588"/>
    <mergeCell ref="B2591:B2592"/>
    <mergeCell ref="C2591:D2591"/>
    <mergeCell ref="C2592:D2592"/>
    <mergeCell ref="C2560:D2560"/>
    <mergeCell ref="C2561:D2561"/>
    <mergeCell ref="C2564:D2564"/>
    <mergeCell ref="C2565:D2565"/>
    <mergeCell ref="A2567:A2585"/>
    <mergeCell ref="C2568:D2568"/>
    <mergeCell ref="C2569:D2569"/>
    <mergeCell ref="C2570:D2570"/>
    <mergeCell ref="C2574:D2574"/>
    <mergeCell ref="C2578:D2578"/>
    <mergeCell ref="C2546:D2546"/>
    <mergeCell ref="C2549:D2549"/>
    <mergeCell ref="C2553:D2553"/>
    <mergeCell ref="B2557:B2558"/>
    <mergeCell ref="C2557:D2557"/>
    <mergeCell ref="C2558:D2558"/>
    <mergeCell ref="C2516:D2516"/>
    <mergeCell ref="C2535:D2535"/>
    <mergeCell ref="C2538:D2538"/>
    <mergeCell ref="C2539:D2539"/>
    <mergeCell ref="C2544:D2544"/>
    <mergeCell ref="C2545:D2545"/>
    <mergeCell ref="B2502:B2504"/>
    <mergeCell ref="C2502:D2502"/>
    <mergeCell ref="C2503:D2503"/>
    <mergeCell ref="C2506:D2506"/>
    <mergeCell ref="C2507:D2507"/>
    <mergeCell ref="C2508:D2508"/>
    <mergeCell ref="C2459:D2459"/>
    <mergeCell ref="C2464:D2464"/>
    <mergeCell ref="C2486:D2486"/>
    <mergeCell ref="C2487:D2487"/>
    <mergeCell ref="C2494:D2494"/>
    <mergeCell ref="C2495:D2495"/>
    <mergeCell ref="C2441:D2441"/>
    <mergeCell ref="C2443:D2443"/>
    <mergeCell ref="C2444:D2444"/>
    <mergeCell ref="C2445:D2445"/>
    <mergeCell ref="B2448:B2457"/>
    <mergeCell ref="C2448:D2448"/>
    <mergeCell ref="C2449:D2449"/>
    <mergeCell ref="C2450:D2450"/>
    <mergeCell ref="C2455:D2455"/>
    <mergeCell ref="B2419:B2421"/>
    <mergeCell ref="C2419:D2419"/>
    <mergeCell ref="C2420:D2420"/>
    <mergeCell ref="C2425:D2425"/>
    <mergeCell ref="C2426:D2426"/>
    <mergeCell ref="B2431:B2436"/>
    <mergeCell ref="C2431:D2431"/>
    <mergeCell ref="C2432:D2432"/>
    <mergeCell ref="C2433:D2433"/>
    <mergeCell ref="C2436:D2436"/>
    <mergeCell ref="B2409:B2412"/>
    <mergeCell ref="C2409:D2409"/>
    <mergeCell ref="C2410:D2410"/>
    <mergeCell ref="C2413:D2413"/>
    <mergeCell ref="C2414:D2414"/>
    <mergeCell ref="C2415:D2415"/>
    <mergeCell ref="C2397:D2397"/>
    <mergeCell ref="B2400:B2407"/>
    <mergeCell ref="C2400:D2400"/>
    <mergeCell ref="C2401:D2401"/>
    <mergeCell ref="C2405:D2405"/>
    <mergeCell ref="C2406:D2406"/>
    <mergeCell ref="C2386:D2386"/>
    <mergeCell ref="B2390:B2394"/>
    <mergeCell ref="C2390:D2390"/>
    <mergeCell ref="C2391:D2391"/>
    <mergeCell ref="C2395:D2395"/>
    <mergeCell ref="C2396:D2396"/>
    <mergeCell ref="C2367:D2367"/>
    <mergeCell ref="C2368:D2368"/>
    <mergeCell ref="C2369:D2369"/>
    <mergeCell ref="B2372:B2380"/>
    <mergeCell ref="C2372:D2372"/>
    <mergeCell ref="C2373:D2373"/>
    <mergeCell ref="C2378:D2378"/>
    <mergeCell ref="C2379:D2379"/>
    <mergeCell ref="C2358:D2358"/>
    <mergeCell ref="C2359:D2359"/>
    <mergeCell ref="C2360:D2360"/>
    <mergeCell ref="B2363:B2365"/>
    <mergeCell ref="C2363:D2363"/>
    <mergeCell ref="C2364:D2364"/>
    <mergeCell ref="C2345:D2345"/>
    <mergeCell ref="C2349:D2349"/>
    <mergeCell ref="C2350:D2350"/>
    <mergeCell ref="B2354:B2357"/>
    <mergeCell ref="C2354:D2354"/>
    <mergeCell ref="C2355:D2355"/>
    <mergeCell ref="C2326:D2326"/>
    <mergeCell ref="C2327:D2327"/>
    <mergeCell ref="C2329:D2329"/>
    <mergeCell ref="C2330:D2330"/>
    <mergeCell ref="C2331:D2331"/>
    <mergeCell ref="B2336:B2347"/>
    <mergeCell ref="C2336:D2336"/>
    <mergeCell ref="C2337:D2337"/>
    <mergeCell ref="C2338:D2338"/>
    <mergeCell ref="C2341:D2341"/>
    <mergeCell ref="C2304:D2304"/>
    <mergeCell ref="C2305:D2305"/>
    <mergeCell ref="C2309:D2309"/>
    <mergeCell ref="B2313:B2325"/>
    <mergeCell ref="C2313:D2313"/>
    <mergeCell ref="C2314:D2314"/>
    <mergeCell ref="C2315:D2315"/>
    <mergeCell ref="C2321:D2321"/>
    <mergeCell ref="B2292:B2301"/>
    <mergeCell ref="C2292:D2292"/>
    <mergeCell ref="C2293:D2293"/>
    <mergeCell ref="C2294:D2294"/>
    <mergeCell ref="C2299:D2299"/>
    <mergeCell ref="C2303:D2303"/>
    <mergeCell ref="C2277:D2277"/>
    <mergeCell ref="C2278:D2278"/>
    <mergeCell ref="B2281:B2289"/>
    <mergeCell ref="C2281:D2281"/>
    <mergeCell ref="C2282:D2282"/>
    <mergeCell ref="C2283:D2283"/>
    <mergeCell ref="C2288:D2288"/>
    <mergeCell ref="B2266:B2275"/>
    <mergeCell ref="C2266:D2266"/>
    <mergeCell ref="C2267:D2267"/>
    <mergeCell ref="C2268:D2268"/>
    <mergeCell ref="C2273:D2273"/>
    <mergeCell ref="C2276:D2276"/>
    <mergeCell ref="C2253:D2253"/>
    <mergeCell ref="C2254:D2254"/>
    <mergeCell ref="C2258:D2258"/>
    <mergeCell ref="C2259:D2259"/>
    <mergeCell ref="B2262:B2264"/>
    <mergeCell ref="C2262:D2262"/>
    <mergeCell ref="C2263:D2263"/>
    <mergeCell ref="B2242:B2246"/>
    <mergeCell ref="C2242:D2242"/>
    <mergeCell ref="C2243:D2243"/>
    <mergeCell ref="C2244:D2244"/>
    <mergeCell ref="C2249:D2249"/>
    <mergeCell ref="C2252:D2252"/>
    <mergeCell ref="C2231:D2231"/>
    <mergeCell ref="C2232:D2232"/>
    <mergeCell ref="C2233:D2233"/>
    <mergeCell ref="B2238:B2240"/>
    <mergeCell ref="C2238:D2238"/>
    <mergeCell ref="C2239:D2239"/>
    <mergeCell ref="C2220:D2220"/>
    <mergeCell ref="C2221:D2221"/>
    <mergeCell ref="C2222:D2222"/>
    <mergeCell ref="C2224:D2224"/>
    <mergeCell ref="C2225:D2225"/>
    <mergeCell ref="C2185:D2185"/>
    <mergeCell ref="C2190:D2190"/>
    <mergeCell ref="C2191:D2191"/>
    <mergeCell ref="C2192:D2192"/>
    <mergeCell ref="C2200:D2200"/>
    <mergeCell ref="B2209:B2218"/>
    <mergeCell ref="C2217:D2217"/>
    <mergeCell ref="C2159:D2159"/>
    <mergeCell ref="C2160:D2160"/>
    <mergeCell ref="C2178:D2178"/>
    <mergeCell ref="C2179:D2179"/>
    <mergeCell ref="C2180:D2180"/>
    <mergeCell ref="C2184:D2184"/>
    <mergeCell ref="C2133:D2133"/>
    <mergeCell ref="C2134:D2134"/>
    <mergeCell ref="C2135:D2135"/>
    <mergeCell ref="C2139:D2139"/>
    <mergeCell ref="C2140:D2140"/>
    <mergeCell ref="C2143:D2143"/>
    <mergeCell ref="C2119:D2119"/>
    <mergeCell ref="C2120:D2120"/>
    <mergeCell ref="C2121:D2121"/>
    <mergeCell ref="C2124:D2124"/>
    <mergeCell ref="C2125:D2125"/>
    <mergeCell ref="B2128:B2130"/>
    <mergeCell ref="C2128:D2128"/>
    <mergeCell ref="C2129:D2129"/>
    <mergeCell ref="C2095:D2095"/>
    <mergeCell ref="C2096:D2096"/>
    <mergeCell ref="C2097:D2097"/>
    <mergeCell ref="C2106:D2106"/>
    <mergeCell ref="B2112:B2118"/>
    <mergeCell ref="C2117:D2117"/>
    <mergeCell ref="C2059:D2059"/>
    <mergeCell ref="B2064:B2069"/>
    <mergeCell ref="C2068:D2068"/>
    <mergeCell ref="B2071:B2073"/>
    <mergeCell ref="C2071:D2071"/>
    <mergeCell ref="C2072:D2072"/>
    <mergeCell ref="C2041:D2041"/>
    <mergeCell ref="C2042:D2042"/>
    <mergeCell ref="C2043:D2043"/>
    <mergeCell ref="C2048:D2048"/>
    <mergeCell ref="C2049:D2049"/>
    <mergeCell ref="C2050:D2050"/>
    <mergeCell ref="C2003:D2003"/>
    <mergeCell ref="C2009:D2009"/>
    <mergeCell ref="B2013:B2016"/>
    <mergeCell ref="C2013:D2013"/>
    <mergeCell ref="C2014:D2014"/>
    <mergeCell ref="C2022:D2022"/>
    <mergeCell ref="C1925:D1925"/>
    <mergeCell ref="C1926:D1926"/>
    <mergeCell ref="C1934:D1934"/>
    <mergeCell ref="C1955:D1955"/>
    <mergeCell ref="C1959:D1959"/>
    <mergeCell ref="C2002:D2002"/>
    <mergeCell ref="B1913:B1915"/>
    <mergeCell ref="C1913:D1913"/>
    <mergeCell ref="C1914:D1914"/>
    <mergeCell ref="C1920:D1920"/>
    <mergeCell ref="C1921:D1921"/>
    <mergeCell ref="C1924:D1924"/>
    <mergeCell ref="C1825:D1825"/>
    <mergeCell ref="C1826:D1826"/>
    <mergeCell ref="C1833:D1833"/>
    <mergeCell ref="C1898:D1898"/>
    <mergeCell ref="C1899:D1899"/>
    <mergeCell ref="C1906:D1906"/>
    <mergeCell ref="C1812:D1812"/>
    <mergeCell ref="C1813:D1813"/>
    <mergeCell ref="C1817:D1817"/>
    <mergeCell ref="C1818:D1818"/>
    <mergeCell ref="B1821:B1823"/>
    <mergeCell ref="C1821:D1821"/>
    <mergeCell ref="C1822:D1822"/>
    <mergeCell ref="C1770:D1770"/>
    <mergeCell ref="C1793:D1793"/>
    <mergeCell ref="B1796:B1815"/>
    <mergeCell ref="C1796:D1796"/>
    <mergeCell ref="C1799:D1799"/>
    <mergeCell ref="C1800:D1800"/>
    <mergeCell ref="C1803:D1803"/>
    <mergeCell ref="C1804:D1804"/>
    <mergeCell ref="C1807:D1807"/>
    <mergeCell ref="C1808:D1808"/>
    <mergeCell ref="B1756:B1758"/>
    <mergeCell ref="C1756:D1756"/>
    <mergeCell ref="C1757:D1757"/>
    <mergeCell ref="C1760:D1760"/>
    <mergeCell ref="C1761:D1761"/>
    <mergeCell ref="C1762:D1762"/>
    <mergeCell ref="C1740:D1740"/>
    <mergeCell ref="C1744:D1744"/>
    <mergeCell ref="B1749:B1751"/>
    <mergeCell ref="C1749:D1749"/>
    <mergeCell ref="C1750:D1750"/>
    <mergeCell ref="B1753:B1755"/>
    <mergeCell ref="C1753:D1753"/>
    <mergeCell ref="C1754:D1754"/>
    <mergeCell ref="C1729:D1729"/>
    <mergeCell ref="C1730:D1730"/>
    <mergeCell ref="C1733:D1733"/>
    <mergeCell ref="C1734:D1734"/>
    <mergeCell ref="C1738:D1738"/>
    <mergeCell ref="C1739:D1739"/>
    <mergeCell ref="C1714:D1714"/>
    <mergeCell ref="C1719:D1719"/>
    <mergeCell ref="C1722:D1722"/>
    <mergeCell ref="C1723:D1723"/>
    <mergeCell ref="C1724:D1724"/>
    <mergeCell ref="C1727:D1727"/>
    <mergeCell ref="B1707:B1710"/>
    <mergeCell ref="C1707:D1707"/>
    <mergeCell ref="C1708:D1708"/>
    <mergeCell ref="C1709:D1709"/>
    <mergeCell ref="C1712:D1712"/>
    <mergeCell ref="C1713:D1713"/>
    <mergeCell ref="C1694:D1694"/>
    <mergeCell ref="C1695:D1695"/>
    <mergeCell ref="C1696:D1696"/>
    <mergeCell ref="C1701:D1701"/>
    <mergeCell ref="B1703:B1705"/>
    <mergeCell ref="C1703:D1703"/>
    <mergeCell ref="C1704:D1704"/>
    <mergeCell ref="C1685:D1685"/>
    <mergeCell ref="C1686:D1686"/>
    <mergeCell ref="C1687:D1687"/>
    <mergeCell ref="B1690:B1692"/>
    <mergeCell ref="C1690:D1690"/>
    <mergeCell ref="C1691:D1691"/>
    <mergeCell ref="C1674:D1674"/>
    <mergeCell ref="B1675:B1679"/>
    <mergeCell ref="C1675:D1675"/>
    <mergeCell ref="C1678:D1678"/>
    <mergeCell ref="C1681:D1681"/>
    <mergeCell ref="C1682:D1682"/>
    <mergeCell ref="C1666:D1666"/>
    <mergeCell ref="C1668:D1668"/>
    <mergeCell ref="B1669:B1671"/>
    <mergeCell ref="C1669:D1669"/>
    <mergeCell ref="C1670:D1670"/>
    <mergeCell ref="C1673:D1673"/>
    <mergeCell ref="C1657:D1657"/>
    <mergeCell ref="C1658:D1658"/>
    <mergeCell ref="B1661:B1663"/>
    <mergeCell ref="C1661:D1661"/>
    <mergeCell ref="C1662:D1662"/>
    <mergeCell ref="C1665:D1665"/>
    <mergeCell ref="C1641:D1641"/>
    <mergeCell ref="C1642:D1642"/>
    <mergeCell ref="C1645:D1645"/>
    <mergeCell ref="C1646:D1646"/>
    <mergeCell ref="C1647:D1647"/>
    <mergeCell ref="C1650:D1650"/>
    <mergeCell ref="C1653:D1653"/>
    <mergeCell ref="C1654:D1654"/>
    <mergeCell ref="C1620:D1620"/>
    <mergeCell ref="C1621:D1621"/>
    <mergeCell ref="B1626:B1636"/>
    <mergeCell ref="C1626:D1626"/>
    <mergeCell ref="C1627:D1627"/>
    <mergeCell ref="C1628:D1628"/>
    <mergeCell ref="C1631:D1631"/>
    <mergeCell ref="C1635:D1635"/>
    <mergeCell ref="C1636:D1636"/>
    <mergeCell ref="B1611:B1614"/>
    <mergeCell ref="C1611:D1611"/>
    <mergeCell ref="C1612:D1612"/>
    <mergeCell ref="C1613:D1613"/>
    <mergeCell ref="C1615:D1615"/>
    <mergeCell ref="C1616:D1616"/>
    <mergeCell ref="C1582:D1582"/>
    <mergeCell ref="C1587:D1587"/>
    <mergeCell ref="C1591:D1591"/>
    <mergeCell ref="C1592:D1592"/>
    <mergeCell ref="B1599:B1609"/>
    <mergeCell ref="C1599:D1599"/>
    <mergeCell ref="C1600:D1600"/>
    <mergeCell ref="C1601:D1601"/>
    <mergeCell ref="C1605:D1605"/>
    <mergeCell ref="C1608:D1608"/>
    <mergeCell ref="C1553:D1553"/>
    <mergeCell ref="C1561:D1561"/>
    <mergeCell ref="C1562:D1562"/>
    <mergeCell ref="C1563:D1563"/>
    <mergeCell ref="C1569:D1569"/>
    <mergeCell ref="C1574:D1574"/>
    <mergeCell ref="C1531:D1531"/>
    <mergeCell ref="C1532:D1532"/>
    <mergeCell ref="C1539:D1539"/>
    <mergeCell ref="C1545:D1545"/>
    <mergeCell ref="C1546:D1546"/>
    <mergeCell ref="C1547:D1547"/>
    <mergeCell ref="C1491:D1491"/>
    <mergeCell ref="C1492:D1492"/>
    <mergeCell ref="C1493:D1493"/>
    <mergeCell ref="C1503:D1503"/>
    <mergeCell ref="C1522:D1522"/>
    <mergeCell ref="C1525:D1525"/>
    <mergeCell ref="C1418:D1418"/>
    <mergeCell ref="C1432:D1432"/>
    <mergeCell ref="C1435:D1435"/>
    <mergeCell ref="C1480:D1480"/>
    <mergeCell ref="C1481:D1481"/>
    <mergeCell ref="C1487:D1487"/>
    <mergeCell ref="C1383:D1383"/>
    <mergeCell ref="C1401:D1401"/>
    <mergeCell ref="C1402:D1402"/>
    <mergeCell ref="C1406:D1406"/>
    <mergeCell ref="C1407:D1407"/>
    <mergeCell ref="C1408:D1408"/>
    <mergeCell ref="C1344:D1344"/>
    <mergeCell ref="C1345:D1345"/>
    <mergeCell ref="C1346:D1346"/>
    <mergeCell ref="C1356:D1356"/>
    <mergeCell ref="C1376:D1376"/>
    <mergeCell ref="C1379:D1379"/>
    <mergeCell ref="C1319:D1319"/>
    <mergeCell ref="C1320:D1320"/>
    <mergeCell ref="C1321:D1321"/>
    <mergeCell ref="B1324:B1342"/>
    <mergeCell ref="C1324:D1324"/>
    <mergeCell ref="C1325:D1325"/>
    <mergeCell ref="C1326:D1326"/>
    <mergeCell ref="C1335:D1335"/>
    <mergeCell ref="C1341:D1341"/>
    <mergeCell ref="B1302:B1317"/>
    <mergeCell ref="C1302:D1302"/>
    <mergeCell ref="C1303:D1303"/>
    <mergeCell ref="C1304:D1304"/>
    <mergeCell ref="C1310:D1310"/>
    <mergeCell ref="C1316:D1316"/>
    <mergeCell ref="C1291:D1291"/>
    <mergeCell ref="C1292:D1292"/>
    <mergeCell ref="C1295:D1295"/>
    <mergeCell ref="C1296:D1296"/>
    <mergeCell ref="C1298:D1298"/>
    <mergeCell ref="C1299:D1299"/>
    <mergeCell ref="C1260:D1260"/>
    <mergeCell ref="C1261:D1261"/>
    <mergeCell ref="C1262:D1262"/>
    <mergeCell ref="C1272:D1272"/>
    <mergeCell ref="B1286:B1289"/>
    <mergeCell ref="C1288:D1288"/>
    <mergeCell ref="B1252:B1258"/>
    <mergeCell ref="C1252:D1252"/>
    <mergeCell ref="C1253:D1253"/>
    <mergeCell ref="C1255:D1255"/>
    <mergeCell ref="C1256:D1256"/>
    <mergeCell ref="C1257:D1257"/>
    <mergeCell ref="B1237:B1239"/>
    <mergeCell ref="C1237:D1237"/>
    <mergeCell ref="C1238:D1238"/>
    <mergeCell ref="B1242:B1249"/>
    <mergeCell ref="C1242:D1242"/>
    <mergeCell ref="C1243:D1243"/>
    <mergeCell ref="C1244:D1244"/>
    <mergeCell ref="C1247:D1247"/>
    <mergeCell ref="C1248:D1248"/>
    <mergeCell ref="C1224:D1224"/>
    <mergeCell ref="C1225:D1225"/>
    <mergeCell ref="C1228:D1228"/>
    <mergeCell ref="C1229:D1229"/>
    <mergeCell ref="B1233:B1235"/>
    <mergeCell ref="C1233:D1233"/>
    <mergeCell ref="C1234:D1234"/>
    <mergeCell ref="C1213:D1213"/>
    <mergeCell ref="B1216:B1222"/>
    <mergeCell ref="C1216:D1216"/>
    <mergeCell ref="C1217:D1217"/>
    <mergeCell ref="C1218:D1218"/>
    <mergeCell ref="C1221:D1221"/>
    <mergeCell ref="C1205:D1205"/>
    <mergeCell ref="C1206:D1206"/>
    <mergeCell ref="B1209:B1211"/>
    <mergeCell ref="C1209:D1209"/>
    <mergeCell ref="C1210:D1210"/>
    <mergeCell ref="C1212:D1212"/>
    <mergeCell ref="B1197:B1199"/>
    <mergeCell ref="C1197:D1197"/>
    <mergeCell ref="C1198:D1198"/>
    <mergeCell ref="C1201:D1201"/>
    <mergeCell ref="C1202:D1202"/>
    <mergeCell ref="C1204:D1204"/>
    <mergeCell ref="B1189:B1195"/>
    <mergeCell ref="C1189:D1189"/>
    <mergeCell ref="C1190:D1190"/>
    <mergeCell ref="C1192:D1192"/>
    <mergeCell ref="C1193:D1193"/>
    <mergeCell ref="C1194:D1194"/>
    <mergeCell ref="C1175:D1175"/>
    <mergeCell ref="C1176:D1176"/>
    <mergeCell ref="C1177:D1177"/>
    <mergeCell ref="C1182:D1182"/>
    <mergeCell ref="C1183:D1183"/>
    <mergeCell ref="B1185:B1187"/>
    <mergeCell ref="C1185:D1185"/>
    <mergeCell ref="C1186:D1186"/>
    <mergeCell ref="C1072:D1072"/>
    <mergeCell ref="C1136:D1136"/>
    <mergeCell ref="C1137:D1137"/>
    <mergeCell ref="C1154:D1154"/>
    <mergeCell ref="C1155:D1155"/>
    <mergeCell ref="C1158:D1158"/>
    <mergeCell ref="C1038:D1038"/>
    <mergeCell ref="A1040:A1041"/>
    <mergeCell ref="C1041:D1041"/>
    <mergeCell ref="C1042:D1042"/>
    <mergeCell ref="C1043:D1043"/>
    <mergeCell ref="C1051:D1051"/>
    <mergeCell ref="C1065:D1065"/>
    <mergeCell ref="C1069:D1069"/>
    <mergeCell ref="C1071:D1071"/>
    <mergeCell ref="C1018:D1018"/>
    <mergeCell ref="C1019:D1019"/>
    <mergeCell ref="C1022:D1022"/>
    <mergeCell ref="C1023:D1023"/>
    <mergeCell ref="C1024:D1024"/>
    <mergeCell ref="C1030:D1030"/>
    <mergeCell ref="C1001:D1001"/>
    <mergeCell ref="B1007:B1016"/>
    <mergeCell ref="C1007:D1007"/>
    <mergeCell ref="C1008:D1008"/>
    <mergeCell ref="C1009:D1009"/>
    <mergeCell ref="C1012:D1012"/>
    <mergeCell ref="C931:D931"/>
    <mergeCell ref="C935:D935"/>
    <mergeCell ref="C936:D936"/>
    <mergeCell ref="C937:D937"/>
    <mergeCell ref="C942:D942"/>
    <mergeCell ref="C952:D952"/>
    <mergeCell ref="C956:D956"/>
    <mergeCell ref="C993:D993"/>
    <mergeCell ref="C994:D994"/>
    <mergeCell ref="B907:B917"/>
    <mergeCell ref="C912:D912"/>
    <mergeCell ref="C920:D920"/>
    <mergeCell ref="C921:D921"/>
    <mergeCell ref="B924:B928"/>
    <mergeCell ref="C924:D924"/>
    <mergeCell ref="C925:D925"/>
    <mergeCell ref="C926:D926"/>
    <mergeCell ref="C822:D822"/>
    <mergeCell ref="C830:D830"/>
    <mergeCell ref="C855:D855"/>
    <mergeCell ref="C858:D858"/>
    <mergeCell ref="C902:D902"/>
    <mergeCell ref="C903:D903"/>
    <mergeCell ref="C813:D813"/>
    <mergeCell ref="C815:D815"/>
    <mergeCell ref="C816:D816"/>
    <mergeCell ref="C817:D817"/>
    <mergeCell ref="C820:D820"/>
    <mergeCell ref="C821:D821"/>
    <mergeCell ref="C793:D793"/>
    <mergeCell ref="C797:D797"/>
    <mergeCell ref="C801:D801"/>
    <mergeCell ref="C802:D802"/>
    <mergeCell ref="C803:D803"/>
    <mergeCell ref="C806:D806"/>
    <mergeCell ref="C770:D770"/>
    <mergeCell ref="C771:D771"/>
    <mergeCell ref="C772:D772"/>
    <mergeCell ref="C778:D778"/>
    <mergeCell ref="B783:B787"/>
    <mergeCell ref="C783:D783"/>
    <mergeCell ref="C784:D784"/>
    <mergeCell ref="C785:D785"/>
    <mergeCell ref="B721:B732"/>
    <mergeCell ref="C721:D721"/>
    <mergeCell ref="C722:D722"/>
    <mergeCell ref="C723:D723"/>
    <mergeCell ref="C726:D726"/>
    <mergeCell ref="C732:D732"/>
    <mergeCell ref="C709:D709"/>
    <mergeCell ref="B712:B719"/>
    <mergeCell ref="C712:D712"/>
    <mergeCell ref="C713:D713"/>
    <mergeCell ref="C714:D714"/>
    <mergeCell ref="C717:D717"/>
    <mergeCell ref="C718:D718"/>
    <mergeCell ref="C683:D683"/>
    <mergeCell ref="C686:D686"/>
    <mergeCell ref="C687:D687"/>
    <mergeCell ref="C697:D697"/>
    <mergeCell ref="C698:D698"/>
    <mergeCell ref="C708:D708"/>
    <mergeCell ref="B658:B660"/>
    <mergeCell ref="C658:D658"/>
    <mergeCell ref="C659:D659"/>
    <mergeCell ref="C662:D662"/>
    <mergeCell ref="C663:D663"/>
    <mergeCell ref="B667:B675"/>
    <mergeCell ref="C667:D667"/>
    <mergeCell ref="C668:D668"/>
    <mergeCell ref="C669:D669"/>
    <mergeCell ref="C621:D621"/>
    <mergeCell ref="C629:D629"/>
    <mergeCell ref="C644:D644"/>
    <mergeCell ref="C647:D647"/>
    <mergeCell ref="C654:D654"/>
    <mergeCell ref="C655:D655"/>
    <mergeCell ref="C612:D612"/>
    <mergeCell ref="C614:D614"/>
    <mergeCell ref="C615:D615"/>
    <mergeCell ref="C616:D616"/>
    <mergeCell ref="C619:D619"/>
    <mergeCell ref="C620:D620"/>
    <mergeCell ref="C577:D577"/>
    <mergeCell ref="C578:D578"/>
    <mergeCell ref="C583:D583"/>
    <mergeCell ref="C584:D584"/>
    <mergeCell ref="C585:D585"/>
    <mergeCell ref="C593:D593"/>
    <mergeCell ref="C551:D551"/>
    <mergeCell ref="C563:D563"/>
    <mergeCell ref="C566:D566"/>
    <mergeCell ref="C567:D567"/>
    <mergeCell ref="C573:D573"/>
    <mergeCell ref="C574:D574"/>
    <mergeCell ref="C520:D520"/>
    <mergeCell ref="C523:D523"/>
    <mergeCell ref="C542:D542"/>
    <mergeCell ref="C543:D543"/>
    <mergeCell ref="C548:D548"/>
    <mergeCell ref="C549:D549"/>
    <mergeCell ref="C498:D498"/>
    <mergeCell ref="C501:D501"/>
    <mergeCell ref="C502:D502"/>
    <mergeCell ref="C503:D503"/>
    <mergeCell ref="C510:D510"/>
    <mergeCell ref="C511:D511"/>
    <mergeCell ref="C467:D467"/>
    <mergeCell ref="C468:D468"/>
    <mergeCell ref="C474:D474"/>
    <mergeCell ref="C477:D477"/>
    <mergeCell ref="C496:D496"/>
    <mergeCell ref="C497:D497"/>
    <mergeCell ref="C455:D455"/>
    <mergeCell ref="C458:D458"/>
    <mergeCell ref="C459:D459"/>
    <mergeCell ref="C461:D461"/>
    <mergeCell ref="C462:D462"/>
    <mergeCell ref="C466:D466"/>
    <mergeCell ref="C431:D431"/>
    <mergeCell ref="C432:D432"/>
    <mergeCell ref="C435:D435"/>
    <mergeCell ref="C437:D437"/>
    <mergeCell ref="C438:D438"/>
    <mergeCell ref="B442:B452"/>
    <mergeCell ref="C442:D442"/>
    <mergeCell ref="C443:D443"/>
    <mergeCell ref="C444:D444"/>
    <mergeCell ref="C450:D450"/>
    <mergeCell ref="C421:D421"/>
    <mergeCell ref="C422:D422"/>
    <mergeCell ref="C425:D425"/>
    <mergeCell ref="C426:D426"/>
    <mergeCell ref="C429:D429"/>
    <mergeCell ref="C430:D430"/>
    <mergeCell ref="C409:D409"/>
    <mergeCell ref="C410:D410"/>
    <mergeCell ref="C413:D413"/>
    <mergeCell ref="C414:D414"/>
    <mergeCell ref="B417:B419"/>
    <mergeCell ref="C417:D417"/>
    <mergeCell ref="C418:D418"/>
    <mergeCell ref="C351:D351"/>
    <mergeCell ref="C376:D376"/>
    <mergeCell ref="C379:D379"/>
    <mergeCell ref="C382:D382"/>
    <mergeCell ref="C383:D383"/>
    <mergeCell ref="C396:D396"/>
    <mergeCell ref="C337:D337"/>
    <mergeCell ref="C339:D339"/>
    <mergeCell ref="C341:D341"/>
    <mergeCell ref="C342:D342"/>
    <mergeCell ref="C343:D343"/>
    <mergeCell ref="C350:D350"/>
    <mergeCell ref="C321:D321"/>
    <mergeCell ref="C322:D322"/>
    <mergeCell ref="C323:D323"/>
    <mergeCell ref="C326:D326"/>
    <mergeCell ref="B333:B336"/>
    <mergeCell ref="C333:D333"/>
    <mergeCell ref="C334:D334"/>
    <mergeCell ref="C335:D335"/>
    <mergeCell ref="B295:B319"/>
    <mergeCell ref="C295:D295"/>
    <mergeCell ref="C296:D296"/>
    <mergeCell ref="C297:D297"/>
    <mergeCell ref="C300:D300"/>
    <mergeCell ref="C301:D301"/>
    <mergeCell ref="C311:D311"/>
    <mergeCell ref="B269:B293"/>
    <mergeCell ref="C269:D269"/>
    <mergeCell ref="C270:D270"/>
    <mergeCell ref="C271:D271"/>
    <mergeCell ref="C277:D277"/>
    <mergeCell ref="C282:D282"/>
    <mergeCell ref="C283:D283"/>
    <mergeCell ref="C289:D289"/>
    <mergeCell ref="C251:D251"/>
    <mergeCell ref="B257:B263"/>
    <mergeCell ref="C257:D257"/>
    <mergeCell ref="C258:D258"/>
    <mergeCell ref="C259:D259"/>
    <mergeCell ref="C265:D265"/>
    <mergeCell ref="C148:D148"/>
    <mergeCell ref="C149:D149"/>
    <mergeCell ref="C223:D223"/>
    <mergeCell ref="C237:D237"/>
    <mergeCell ref="C238:D238"/>
    <mergeCell ref="C239:D239"/>
    <mergeCell ref="B246:B248"/>
    <mergeCell ref="C246:D246"/>
    <mergeCell ref="C247:D247"/>
    <mergeCell ref="B216:B219"/>
    <mergeCell ref="C216:D216"/>
    <mergeCell ref="C217:D217"/>
    <mergeCell ref="C167:D167"/>
    <mergeCell ref="C178:D178"/>
    <mergeCell ref="B183:B187"/>
    <mergeCell ref="C183:D183"/>
    <mergeCell ref="C184:D184"/>
    <mergeCell ref="C154:D154"/>
    <mergeCell ref="C155:D155"/>
    <mergeCell ref="C158:D158"/>
    <mergeCell ref="C159:D159"/>
    <mergeCell ref="C160:D160"/>
    <mergeCell ref="C166:D166"/>
    <mergeCell ref="C103:D103"/>
    <mergeCell ref="C104:D104"/>
    <mergeCell ref="C49:D49"/>
    <mergeCell ref="C50:D50"/>
    <mergeCell ref="C57:D57"/>
    <mergeCell ref="C70:D70"/>
    <mergeCell ref="C138:D138"/>
    <mergeCell ref="C139:D139"/>
    <mergeCell ref="C140:D140"/>
    <mergeCell ref="C96:D96"/>
    <mergeCell ref="C100:D100"/>
    <mergeCell ref="C143:D143"/>
    <mergeCell ref="C144:D144"/>
    <mergeCell ref="B147:B152"/>
    <mergeCell ref="C147:D147"/>
    <mergeCell ref="A2:G5"/>
    <mergeCell ref="B12:B14"/>
    <mergeCell ref="C12:D12"/>
    <mergeCell ref="C13:D13"/>
    <mergeCell ref="C14:D14"/>
    <mergeCell ref="C21:D21"/>
    <mergeCell ref="B73:B101"/>
    <mergeCell ref="C73:D73"/>
    <mergeCell ref="C74:D74"/>
    <mergeCell ref="C75:D75"/>
    <mergeCell ref="C81:D81"/>
    <mergeCell ref="C91:D91"/>
    <mergeCell ref="C40:D40"/>
    <mergeCell ref="C41:D41"/>
    <mergeCell ref="C43:D43"/>
    <mergeCell ref="C44:D44"/>
    <mergeCell ref="C45:D45"/>
    <mergeCell ref="C48:D48"/>
    <mergeCell ref="C92:D92"/>
    <mergeCell ref="C95:D9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Strona &amp;P z &amp;N</oddFooter>
  </headerFooter>
  <rowBreaks count="12" manualBreakCount="12">
    <brk id="156" max="6" man="1"/>
    <brk id="407" max="6" man="1"/>
    <brk id="696" max="6" man="1"/>
    <brk id="829" max="6" man="1"/>
    <brk id="1271" max="6" man="1"/>
    <brk id="1355" max="6" man="1"/>
    <brk id="1705" max="6" man="1"/>
    <brk id="2058" max="6" man="1"/>
    <brk id="2224" max="6" man="1"/>
    <brk id="2301" max="6" man="1"/>
    <brk id="2367" max="6" man="1"/>
    <brk id="240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564"/>
  <sheetViews>
    <sheetView view="pageBreakPreview" zoomScaleSheetLayoutView="100" workbookViewId="0">
      <pane ySplit="7" topLeftCell="A8" activePane="bottomLeft" state="frozen"/>
      <selection activeCell="R16" sqref="R16"/>
      <selection pane="bottomLeft" activeCell="L1320" sqref="L1320"/>
    </sheetView>
  </sheetViews>
  <sheetFormatPr defaultRowHeight="12.75"/>
  <cols>
    <col min="1" max="1" width="3.5703125" style="243" customWidth="1"/>
    <col min="2" max="2" width="50.7109375" style="243" customWidth="1"/>
    <col min="3" max="4" width="7.7109375" style="2953" customWidth="1"/>
    <col min="5" max="5" width="16.85546875" style="243" bestFit="1" customWidth="1"/>
    <col min="6" max="10" width="12.7109375" style="243" customWidth="1"/>
    <col min="11" max="11" width="11.42578125" style="243" bestFit="1" customWidth="1"/>
    <col min="12" max="12" width="11.140625" style="243" bestFit="1" customWidth="1"/>
    <col min="13" max="13" width="10.85546875" style="243" bestFit="1" customWidth="1"/>
    <col min="14" max="14" width="9.85546875" style="243" bestFit="1" customWidth="1"/>
    <col min="15" max="15" width="9.140625" style="243"/>
    <col min="16" max="16" width="9.85546875" style="243" bestFit="1" customWidth="1"/>
    <col min="17" max="17" width="9.140625" style="243"/>
    <col min="18" max="242" width="9.140625" style="118"/>
    <col min="243" max="243" width="4.28515625" style="118" bestFit="1" customWidth="1"/>
    <col min="244" max="244" width="6.85546875" style="118" bestFit="1" customWidth="1"/>
    <col min="245" max="245" width="11" style="118" customWidth="1"/>
    <col min="246" max="246" width="11.140625" style="118" bestFit="1" customWidth="1"/>
    <col min="247" max="247" width="10.85546875" style="118" customWidth="1"/>
    <col min="248" max="248" width="11.5703125" style="118" customWidth="1"/>
    <col min="249" max="249" width="11.140625" style="118" bestFit="1" customWidth="1"/>
    <col min="250" max="250" width="11" style="118" customWidth="1"/>
    <col min="251" max="251" width="10.42578125" style="118" customWidth="1"/>
    <col min="252" max="252" width="11.28515625" style="118" customWidth="1"/>
    <col min="253" max="254" width="9.140625" style="118" bestFit="1" customWidth="1"/>
    <col min="255" max="256" width="11.140625" style="118" bestFit="1" customWidth="1"/>
    <col min="257" max="257" width="11.5703125" style="118" bestFit="1" customWidth="1"/>
    <col min="258" max="258" width="9.140625" style="118" bestFit="1" customWidth="1"/>
    <col min="259" max="259" width="10.28515625" style="118" customWidth="1"/>
    <col min="260" max="498" width="9.140625" style="118"/>
    <col min="499" max="499" width="4.28515625" style="118" bestFit="1" customWidth="1"/>
    <col min="500" max="500" width="6.85546875" style="118" bestFit="1" customWidth="1"/>
    <col min="501" max="501" width="11" style="118" customWidth="1"/>
    <col min="502" max="502" width="11.140625" style="118" bestFit="1" customWidth="1"/>
    <col min="503" max="503" width="10.85546875" style="118" customWidth="1"/>
    <col min="504" max="504" width="11.5703125" style="118" customWidth="1"/>
    <col min="505" max="505" width="11.140625" style="118" bestFit="1" customWidth="1"/>
    <col min="506" max="506" width="11" style="118" customWidth="1"/>
    <col min="507" max="507" width="10.42578125" style="118" customWidth="1"/>
    <col min="508" max="508" width="11.28515625" style="118" customWidth="1"/>
    <col min="509" max="510" width="9.140625" style="118" bestFit="1" customWidth="1"/>
    <col min="511" max="512" width="11.140625" style="118" bestFit="1" customWidth="1"/>
    <col min="513" max="513" width="11.5703125" style="118" bestFit="1" customWidth="1"/>
    <col min="514" max="514" width="9.140625" style="118" bestFit="1" customWidth="1"/>
    <col min="515" max="515" width="10.28515625" style="118" customWidth="1"/>
    <col min="516" max="754" width="9.140625" style="118"/>
    <col min="755" max="755" width="4.28515625" style="118" bestFit="1" customWidth="1"/>
    <col min="756" max="756" width="6.85546875" style="118" bestFit="1" customWidth="1"/>
    <col min="757" max="757" width="11" style="118" customWidth="1"/>
    <col min="758" max="758" width="11.140625" style="118" bestFit="1" customWidth="1"/>
    <col min="759" max="759" width="10.85546875" style="118" customWidth="1"/>
    <col min="760" max="760" width="11.5703125" style="118" customWidth="1"/>
    <col min="761" max="761" width="11.140625" style="118" bestFit="1" customWidth="1"/>
    <col min="762" max="762" width="11" style="118" customWidth="1"/>
    <col min="763" max="763" width="10.42578125" style="118" customWidth="1"/>
    <col min="764" max="764" width="11.28515625" style="118" customWidth="1"/>
    <col min="765" max="766" width="9.140625" style="118" bestFit="1" customWidth="1"/>
    <col min="767" max="768" width="11.140625" style="118" bestFit="1" customWidth="1"/>
    <col min="769" max="769" width="11.5703125" style="118" bestFit="1" customWidth="1"/>
    <col min="770" max="770" width="9.140625" style="118" bestFit="1" customWidth="1"/>
    <col min="771" max="771" width="10.28515625" style="118" customWidth="1"/>
    <col min="772" max="1010" width="9.140625" style="118"/>
    <col min="1011" max="1011" width="4.28515625" style="118" bestFit="1" customWidth="1"/>
    <col min="1012" max="1012" width="6.85546875" style="118" bestFit="1" customWidth="1"/>
    <col min="1013" max="1013" width="11" style="118" customWidth="1"/>
    <col min="1014" max="1014" width="11.140625" style="118" bestFit="1" customWidth="1"/>
    <col min="1015" max="1015" width="10.85546875" style="118" customWidth="1"/>
    <col min="1016" max="1016" width="11.5703125" style="118" customWidth="1"/>
    <col min="1017" max="1017" width="11.140625" style="118" bestFit="1" customWidth="1"/>
    <col min="1018" max="1018" width="11" style="118" customWidth="1"/>
    <col min="1019" max="1019" width="10.42578125" style="118" customWidth="1"/>
    <col min="1020" max="1020" width="11.28515625" style="118" customWidth="1"/>
    <col min="1021" max="1022" width="9.140625" style="118" bestFit="1" customWidth="1"/>
    <col min="1023" max="1024" width="11.140625" style="118" bestFit="1" customWidth="1"/>
    <col min="1025" max="1025" width="11.5703125" style="118" bestFit="1" customWidth="1"/>
    <col min="1026" max="1026" width="9.140625" style="118" bestFit="1" customWidth="1"/>
    <col min="1027" max="1027" width="10.28515625" style="118" customWidth="1"/>
    <col min="1028" max="1266" width="9.140625" style="118"/>
    <col min="1267" max="1267" width="4.28515625" style="118" bestFit="1" customWidth="1"/>
    <col min="1268" max="1268" width="6.85546875" style="118" bestFit="1" customWidth="1"/>
    <col min="1269" max="1269" width="11" style="118" customWidth="1"/>
    <col min="1270" max="1270" width="11.140625" style="118" bestFit="1" customWidth="1"/>
    <col min="1271" max="1271" width="10.85546875" style="118" customWidth="1"/>
    <col min="1272" max="1272" width="11.5703125" style="118" customWidth="1"/>
    <col min="1273" max="1273" width="11.140625" style="118" bestFit="1" customWidth="1"/>
    <col min="1274" max="1274" width="11" style="118" customWidth="1"/>
    <col min="1275" max="1275" width="10.42578125" style="118" customWidth="1"/>
    <col min="1276" max="1276" width="11.28515625" style="118" customWidth="1"/>
    <col min="1277" max="1278" width="9.140625" style="118" bestFit="1" customWidth="1"/>
    <col min="1279" max="1280" width="11.140625" style="118" bestFit="1" customWidth="1"/>
    <col min="1281" max="1281" width="11.5703125" style="118" bestFit="1" customWidth="1"/>
    <col min="1282" max="1282" width="9.140625" style="118" bestFit="1" customWidth="1"/>
    <col min="1283" max="1283" width="10.28515625" style="118" customWidth="1"/>
    <col min="1284" max="1522" width="9.140625" style="118"/>
    <col min="1523" max="1523" width="4.28515625" style="118" bestFit="1" customWidth="1"/>
    <col min="1524" max="1524" width="6.85546875" style="118" bestFit="1" customWidth="1"/>
    <col min="1525" max="1525" width="11" style="118" customWidth="1"/>
    <col min="1526" max="1526" width="11.140625" style="118" bestFit="1" customWidth="1"/>
    <col min="1527" max="1527" width="10.85546875" style="118" customWidth="1"/>
    <col min="1528" max="1528" width="11.5703125" style="118" customWidth="1"/>
    <col min="1529" max="1529" width="11.140625" style="118" bestFit="1" customWidth="1"/>
    <col min="1530" max="1530" width="11" style="118" customWidth="1"/>
    <col min="1531" max="1531" width="10.42578125" style="118" customWidth="1"/>
    <col min="1532" max="1532" width="11.28515625" style="118" customWidth="1"/>
    <col min="1533" max="1534" width="9.140625" style="118" bestFit="1" customWidth="1"/>
    <col min="1535" max="1536" width="11.140625" style="118" bestFit="1" customWidth="1"/>
    <col min="1537" max="1537" width="11.5703125" style="118" bestFit="1" customWidth="1"/>
    <col min="1538" max="1538" width="9.140625" style="118" bestFit="1" customWidth="1"/>
    <col min="1539" max="1539" width="10.28515625" style="118" customWidth="1"/>
    <col min="1540" max="1778" width="9.140625" style="118"/>
    <col min="1779" max="1779" width="4.28515625" style="118" bestFit="1" customWidth="1"/>
    <col min="1780" max="1780" width="6.85546875" style="118" bestFit="1" customWidth="1"/>
    <col min="1781" max="1781" width="11" style="118" customWidth="1"/>
    <col min="1782" max="1782" width="11.140625" style="118" bestFit="1" customWidth="1"/>
    <col min="1783" max="1783" width="10.85546875" style="118" customWidth="1"/>
    <col min="1784" max="1784" width="11.5703125" style="118" customWidth="1"/>
    <col min="1785" max="1785" width="11.140625" style="118" bestFit="1" customWidth="1"/>
    <col min="1786" max="1786" width="11" style="118" customWidth="1"/>
    <col min="1787" max="1787" width="10.42578125" style="118" customWidth="1"/>
    <col min="1788" max="1788" width="11.28515625" style="118" customWidth="1"/>
    <col min="1789" max="1790" width="9.140625" style="118" bestFit="1" customWidth="1"/>
    <col min="1791" max="1792" width="11.140625" style="118" bestFit="1" customWidth="1"/>
    <col min="1793" max="1793" width="11.5703125" style="118" bestFit="1" customWidth="1"/>
    <col min="1794" max="1794" width="9.140625" style="118" bestFit="1" customWidth="1"/>
    <col min="1795" max="1795" width="10.28515625" style="118" customWidth="1"/>
    <col min="1796" max="2034" width="9.140625" style="118"/>
    <col min="2035" max="2035" width="4.28515625" style="118" bestFit="1" customWidth="1"/>
    <col min="2036" max="2036" width="6.85546875" style="118" bestFit="1" customWidth="1"/>
    <col min="2037" max="2037" width="11" style="118" customWidth="1"/>
    <col min="2038" max="2038" width="11.140625" style="118" bestFit="1" customWidth="1"/>
    <col min="2039" max="2039" width="10.85546875" style="118" customWidth="1"/>
    <col min="2040" max="2040" width="11.5703125" style="118" customWidth="1"/>
    <col min="2041" max="2041" width="11.140625" style="118" bestFit="1" customWidth="1"/>
    <col min="2042" max="2042" width="11" style="118" customWidth="1"/>
    <col min="2043" max="2043" width="10.42578125" style="118" customWidth="1"/>
    <col min="2044" max="2044" width="11.28515625" style="118" customWidth="1"/>
    <col min="2045" max="2046" width="9.140625" style="118" bestFit="1" customWidth="1"/>
    <col min="2047" max="2048" width="11.140625" style="118" bestFit="1" customWidth="1"/>
    <col min="2049" max="2049" width="11.5703125" style="118" bestFit="1" customWidth="1"/>
    <col min="2050" max="2050" width="9.140625" style="118" bestFit="1" customWidth="1"/>
    <col min="2051" max="2051" width="10.28515625" style="118" customWidth="1"/>
    <col min="2052" max="2290" width="9.140625" style="118"/>
    <col min="2291" max="2291" width="4.28515625" style="118" bestFit="1" customWidth="1"/>
    <col min="2292" max="2292" width="6.85546875" style="118" bestFit="1" customWidth="1"/>
    <col min="2293" max="2293" width="11" style="118" customWidth="1"/>
    <col min="2294" max="2294" width="11.140625" style="118" bestFit="1" customWidth="1"/>
    <col min="2295" max="2295" width="10.85546875" style="118" customWidth="1"/>
    <col min="2296" max="2296" width="11.5703125" style="118" customWidth="1"/>
    <col min="2297" max="2297" width="11.140625" style="118" bestFit="1" customWidth="1"/>
    <col min="2298" max="2298" width="11" style="118" customWidth="1"/>
    <col min="2299" max="2299" width="10.42578125" style="118" customWidth="1"/>
    <col min="2300" max="2300" width="11.28515625" style="118" customWidth="1"/>
    <col min="2301" max="2302" width="9.140625" style="118" bestFit="1" customWidth="1"/>
    <col min="2303" max="2304" width="11.140625" style="118" bestFit="1" customWidth="1"/>
    <col min="2305" max="2305" width="11.5703125" style="118" bestFit="1" customWidth="1"/>
    <col min="2306" max="2306" width="9.140625" style="118" bestFit="1" customWidth="1"/>
    <col min="2307" max="2307" width="10.28515625" style="118" customWidth="1"/>
    <col min="2308" max="2546" width="9.140625" style="118"/>
    <col min="2547" max="2547" width="4.28515625" style="118" bestFit="1" customWidth="1"/>
    <col min="2548" max="2548" width="6.85546875" style="118" bestFit="1" customWidth="1"/>
    <col min="2549" max="2549" width="11" style="118" customWidth="1"/>
    <col min="2550" max="2550" width="11.140625" style="118" bestFit="1" customWidth="1"/>
    <col min="2551" max="2551" width="10.85546875" style="118" customWidth="1"/>
    <col min="2552" max="2552" width="11.5703125" style="118" customWidth="1"/>
    <col min="2553" max="2553" width="11.140625" style="118" bestFit="1" customWidth="1"/>
    <col min="2554" max="2554" width="11" style="118" customWidth="1"/>
    <col min="2555" max="2555" width="10.42578125" style="118" customWidth="1"/>
    <col min="2556" max="2556" width="11.28515625" style="118" customWidth="1"/>
    <col min="2557" max="2558" width="9.140625" style="118" bestFit="1" customWidth="1"/>
    <col min="2559" max="2560" width="11.140625" style="118" bestFit="1" customWidth="1"/>
    <col min="2561" max="2561" width="11.5703125" style="118" bestFit="1" customWidth="1"/>
    <col min="2562" max="2562" width="9.140625" style="118" bestFit="1" customWidth="1"/>
    <col min="2563" max="2563" width="10.28515625" style="118" customWidth="1"/>
    <col min="2564" max="2802" width="9.140625" style="118"/>
    <col min="2803" max="2803" width="4.28515625" style="118" bestFit="1" customWidth="1"/>
    <col min="2804" max="2804" width="6.85546875" style="118" bestFit="1" customWidth="1"/>
    <col min="2805" max="2805" width="11" style="118" customWidth="1"/>
    <col min="2806" max="2806" width="11.140625" style="118" bestFit="1" customWidth="1"/>
    <col min="2807" max="2807" width="10.85546875" style="118" customWidth="1"/>
    <col min="2808" max="2808" width="11.5703125" style="118" customWidth="1"/>
    <col min="2809" max="2809" width="11.140625" style="118" bestFit="1" customWidth="1"/>
    <col min="2810" max="2810" width="11" style="118" customWidth="1"/>
    <col min="2811" max="2811" width="10.42578125" style="118" customWidth="1"/>
    <col min="2812" max="2812" width="11.28515625" style="118" customWidth="1"/>
    <col min="2813" max="2814" width="9.140625" style="118" bestFit="1" customWidth="1"/>
    <col min="2815" max="2816" width="11.140625" style="118" bestFit="1" customWidth="1"/>
    <col min="2817" max="2817" width="11.5703125" style="118" bestFit="1" customWidth="1"/>
    <col min="2818" max="2818" width="9.140625" style="118" bestFit="1" customWidth="1"/>
    <col min="2819" max="2819" width="10.28515625" style="118" customWidth="1"/>
    <col min="2820" max="3058" width="9.140625" style="118"/>
    <col min="3059" max="3059" width="4.28515625" style="118" bestFit="1" customWidth="1"/>
    <col min="3060" max="3060" width="6.85546875" style="118" bestFit="1" customWidth="1"/>
    <col min="3061" max="3061" width="11" style="118" customWidth="1"/>
    <col min="3062" max="3062" width="11.140625" style="118" bestFit="1" customWidth="1"/>
    <col min="3063" max="3063" width="10.85546875" style="118" customWidth="1"/>
    <col min="3064" max="3064" width="11.5703125" style="118" customWidth="1"/>
    <col min="3065" max="3065" width="11.140625" style="118" bestFit="1" customWidth="1"/>
    <col min="3066" max="3066" width="11" style="118" customWidth="1"/>
    <col min="3067" max="3067" width="10.42578125" style="118" customWidth="1"/>
    <col min="3068" max="3068" width="11.28515625" style="118" customWidth="1"/>
    <col min="3069" max="3070" width="9.140625" style="118" bestFit="1" customWidth="1"/>
    <col min="3071" max="3072" width="11.140625" style="118" bestFit="1" customWidth="1"/>
    <col min="3073" max="3073" width="11.5703125" style="118" bestFit="1" customWidth="1"/>
    <col min="3074" max="3074" width="9.140625" style="118" bestFit="1" customWidth="1"/>
    <col min="3075" max="3075" width="10.28515625" style="118" customWidth="1"/>
    <col min="3076" max="3314" width="9.140625" style="118"/>
    <col min="3315" max="3315" width="4.28515625" style="118" bestFit="1" customWidth="1"/>
    <col min="3316" max="3316" width="6.85546875" style="118" bestFit="1" customWidth="1"/>
    <col min="3317" max="3317" width="11" style="118" customWidth="1"/>
    <col min="3318" max="3318" width="11.140625" style="118" bestFit="1" customWidth="1"/>
    <col min="3319" max="3319" width="10.85546875" style="118" customWidth="1"/>
    <col min="3320" max="3320" width="11.5703125" style="118" customWidth="1"/>
    <col min="3321" max="3321" width="11.140625" style="118" bestFit="1" customWidth="1"/>
    <col min="3322" max="3322" width="11" style="118" customWidth="1"/>
    <col min="3323" max="3323" width="10.42578125" style="118" customWidth="1"/>
    <col min="3324" max="3324" width="11.28515625" style="118" customWidth="1"/>
    <col min="3325" max="3326" width="9.140625" style="118" bestFit="1" customWidth="1"/>
    <col min="3327" max="3328" width="11.140625" style="118" bestFit="1" customWidth="1"/>
    <col min="3329" max="3329" width="11.5703125" style="118" bestFit="1" customWidth="1"/>
    <col min="3330" max="3330" width="9.140625" style="118" bestFit="1" customWidth="1"/>
    <col min="3331" max="3331" width="10.28515625" style="118" customWidth="1"/>
    <col min="3332" max="3570" width="9.140625" style="118"/>
    <col min="3571" max="3571" width="4.28515625" style="118" bestFit="1" customWidth="1"/>
    <col min="3572" max="3572" width="6.85546875" style="118" bestFit="1" customWidth="1"/>
    <col min="3573" max="3573" width="11" style="118" customWidth="1"/>
    <col min="3574" max="3574" width="11.140625" style="118" bestFit="1" customWidth="1"/>
    <col min="3575" max="3575" width="10.85546875" style="118" customWidth="1"/>
    <col min="3576" max="3576" width="11.5703125" style="118" customWidth="1"/>
    <col min="3577" max="3577" width="11.140625" style="118" bestFit="1" customWidth="1"/>
    <col min="3578" max="3578" width="11" style="118" customWidth="1"/>
    <col min="3579" max="3579" width="10.42578125" style="118" customWidth="1"/>
    <col min="3580" max="3580" width="11.28515625" style="118" customWidth="1"/>
    <col min="3581" max="3582" width="9.140625" style="118" bestFit="1" customWidth="1"/>
    <col min="3583" max="3584" width="11.140625" style="118" bestFit="1" customWidth="1"/>
    <col min="3585" max="3585" width="11.5703125" style="118" bestFit="1" customWidth="1"/>
    <col min="3586" max="3586" width="9.140625" style="118" bestFit="1" customWidth="1"/>
    <col min="3587" max="3587" width="10.28515625" style="118" customWidth="1"/>
    <col min="3588" max="3826" width="9.140625" style="118"/>
    <col min="3827" max="3827" width="4.28515625" style="118" bestFit="1" customWidth="1"/>
    <col min="3828" max="3828" width="6.85546875" style="118" bestFit="1" customWidth="1"/>
    <col min="3829" max="3829" width="11" style="118" customWidth="1"/>
    <col min="3830" max="3830" width="11.140625" style="118" bestFit="1" customWidth="1"/>
    <col min="3831" max="3831" width="10.85546875" style="118" customWidth="1"/>
    <col min="3832" max="3832" width="11.5703125" style="118" customWidth="1"/>
    <col min="3833" max="3833" width="11.140625" style="118" bestFit="1" customWidth="1"/>
    <col min="3834" max="3834" width="11" style="118" customWidth="1"/>
    <col min="3835" max="3835" width="10.42578125" style="118" customWidth="1"/>
    <col min="3836" max="3836" width="11.28515625" style="118" customWidth="1"/>
    <col min="3837" max="3838" width="9.140625" style="118" bestFit="1" customWidth="1"/>
    <col min="3839" max="3840" width="11.140625" style="118" bestFit="1" customWidth="1"/>
    <col min="3841" max="3841" width="11.5703125" style="118" bestFit="1" customWidth="1"/>
    <col min="3842" max="3842" width="9.140625" style="118" bestFit="1" customWidth="1"/>
    <col min="3843" max="3843" width="10.28515625" style="118" customWidth="1"/>
    <col min="3844" max="4082" width="9.140625" style="118"/>
    <col min="4083" max="4083" width="4.28515625" style="118" bestFit="1" customWidth="1"/>
    <col min="4084" max="4084" width="6.85546875" style="118" bestFit="1" customWidth="1"/>
    <col min="4085" max="4085" width="11" style="118" customWidth="1"/>
    <col min="4086" max="4086" width="11.140625" style="118" bestFit="1" customWidth="1"/>
    <col min="4087" max="4087" width="10.85546875" style="118" customWidth="1"/>
    <col min="4088" max="4088" width="11.5703125" style="118" customWidth="1"/>
    <col min="4089" max="4089" width="11.140625" style="118" bestFit="1" customWidth="1"/>
    <col min="4090" max="4090" width="11" style="118" customWidth="1"/>
    <col min="4091" max="4091" width="10.42578125" style="118" customWidth="1"/>
    <col min="4092" max="4092" width="11.28515625" style="118" customWidth="1"/>
    <col min="4093" max="4094" width="9.140625" style="118" bestFit="1" customWidth="1"/>
    <col min="4095" max="4096" width="11.140625" style="118" bestFit="1" customWidth="1"/>
    <col min="4097" max="4097" width="11.5703125" style="118" bestFit="1" customWidth="1"/>
    <col min="4098" max="4098" width="9.140625" style="118" bestFit="1" customWidth="1"/>
    <col min="4099" max="4099" width="10.28515625" style="118" customWidth="1"/>
    <col min="4100" max="4338" width="9.140625" style="118"/>
    <col min="4339" max="4339" width="4.28515625" style="118" bestFit="1" customWidth="1"/>
    <col min="4340" max="4340" width="6.85546875" style="118" bestFit="1" customWidth="1"/>
    <col min="4341" max="4341" width="11" style="118" customWidth="1"/>
    <col min="4342" max="4342" width="11.140625" style="118" bestFit="1" customWidth="1"/>
    <col min="4343" max="4343" width="10.85546875" style="118" customWidth="1"/>
    <col min="4344" max="4344" width="11.5703125" style="118" customWidth="1"/>
    <col min="4345" max="4345" width="11.140625" style="118" bestFit="1" customWidth="1"/>
    <col min="4346" max="4346" width="11" style="118" customWidth="1"/>
    <col min="4347" max="4347" width="10.42578125" style="118" customWidth="1"/>
    <col min="4348" max="4348" width="11.28515625" style="118" customWidth="1"/>
    <col min="4349" max="4350" width="9.140625" style="118" bestFit="1" customWidth="1"/>
    <col min="4351" max="4352" width="11.140625" style="118" bestFit="1" customWidth="1"/>
    <col min="4353" max="4353" width="11.5703125" style="118" bestFit="1" customWidth="1"/>
    <col min="4354" max="4354" width="9.140625" style="118" bestFit="1" customWidth="1"/>
    <col min="4355" max="4355" width="10.28515625" style="118" customWidth="1"/>
    <col min="4356" max="4594" width="9.140625" style="118"/>
    <col min="4595" max="4595" width="4.28515625" style="118" bestFit="1" customWidth="1"/>
    <col min="4596" max="4596" width="6.85546875" style="118" bestFit="1" customWidth="1"/>
    <col min="4597" max="4597" width="11" style="118" customWidth="1"/>
    <col min="4598" max="4598" width="11.140625" style="118" bestFit="1" customWidth="1"/>
    <col min="4599" max="4599" width="10.85546875" style="118" customWidth="1"/>
    <col min="4600" max="4600" width="11.5703125" style="118" customWidth="1"/>
    <col min="4601" max="4601" width="11.140625" style="118" bestFit="1" customWidth="1"/>
    <col min="4602" max="4602" width="11" style="118" customWidth="1"/>
    <col min="4603" max="4603" width="10.42578125" style="118" customWidth="1"/>
    <col min="4604" max="4604" width="11.28515625" style="118" customWidth="1"/>
    <col min="4605" max="4606" width="9.140625" style="118" bestFit="1" customWidth="1"/>
    <col min="4607" max="4608" width="11.140625" style="118" bestFit="1" customWidth="1"/>
    <col min="4609" max="4609" width="11.5703125" style="118" bestFit="1" customWidth="1"/>
    <col min="4610" max="4610" width="9.140625" style="118" bestFit="1" customWidth="1"/>
    <col min="4611" max="4611" width="10.28515625" style="118" customWidth="1"/>
    <col min="4612" max="4850" width="9.140625" style="118"/>
    <col min="4851" max="4851" width="4.28515625" style="118" bestFit="1" customWidth="1"/>
    <col min="4852" max="4852" width="6.85546875" style="118" bestFit="1" customWidth="1"/>
    <col min="4853" max="4853" width="11" style="118" customWidth="1"/>
    <col min="4854" max="4854" width="11.140625" style="118" bestFit="1" customWidth="1"/>
    <col min="4855" max="4855" width="10.85546875" style="118" customWidth="1"/>
    <col min="4856" max="4856" width="11.5703125" style="118" customWidth="1"/>
    <col min="4857" max="4857" width="11.140625" style="118" bestFit="1" customWidth="1"/>
    <col min="4858" max="4858" width="11" style="118" customWidth="1"/>
    <col min="4859" max="4859" width="10.42578125" style="118" customWidth="1"/>
    <col min="4860" max="4860" width="11.28515625" style="118" customWidth="1"/>
    <col min="4861" max="4862" width="9.140625" style="118" bestFit="1" customWidth="1"/>
    <col min="4863" max="4864" width="11.140625" style="118" bestFit="1" customWidth="1"/>
    <col min="4865" max="4865" width="11.5703125" style="118" bestFit="1" customWidth="1"/>
    <col min="4866" max="4866" width="9.140625" style="118" bestFit="1" customWidth="1"/>
    <col min="4867" max="4867" width="10.28515625" style="118" customWidth="1"/>
    <col min="4868" max="5106" width="9.140625" style="118"/>
    <col min="5107" max="5107" width="4.28515625" style="118" bestFit="1" customWidth="1"/>
    <col min="5108" max="5108" width="6.85546875" style="118" bestFit="1" customWidth="1"/>
    <col min="5109" max="5109" width="11" style="118" customWidth="1"/>
    <col min="5110" max="5110" width="11.140625" style="118" bestFit="1" customWidth="1"/>
    <col min="5111" max="5111" width="10.85546875" style="118" customWidth="1"/>
    <col min="5112" max="5112" width="11.5703125" style="118" customWidth="1"/>
    <col min="5113" max="5113" width="11.140625" style="118" bestFit="1" customWidth="1"/>
    <col min="5114" max="5114" width="11" style="118" customWidth="1"/>
    <col min="5115" max="5115" width="10.42578125" style="118" customWidth="1"/>
    <col min="5116" max="5116" width="11.28515625" style="118" customWidth="1"/>
    <col min="5117" max="5118" width="9.140625" style="118" bestFit="1" customWidth="1"/>
    <col min="5119" max="5120" width="11.140625" style="118" bestFit="1" customWidth="1"/>
    <col min="5121" max="5121" width="11.5703125" style="118" bestFit="1" customWidth="1"/>
    <col min="5122" max="5122" width="9.140625" style="118" bestFit="1" customWidth="1"/>
    <col min="5123" max="5123" width="10.28515625" style="118" customWidth="1"/>
    <col min="5124" max="5362" width="9.140625" style="118"/>
    <col min="5363" max="5363" width="4.28515625" style="118" bestFit="1" customWidth="1"/>
    <col min="5364" max="5364" width="6.85546875" style="118" bestFit="1" customWidth="1"/>
    <col min="5365" max="5365" width="11" style="118" customWidth="1"/>
    <col min="5366" max="5366" width="11.140625" style="118" bestFit="1" customWidth="1"/>
    <col min="5367" max="5367" width="10.85546875" style="118" customWidth="1"/>
    <col min="5368" max="5368" width="11.5703125" style="118" customWidth="1"/>
    <col min="5369" max="5369" width="11.140625" style="118" bestFit="1" customWidth="1"/>
    <col min="5370" max="5370" width="11" style="118" customWidth="1"/>
    <col min="5371" max="5371" width="10.42578125" style="118" customWidth="1"/>
    <col min="5372" max="5372" width="11.28515625" style="118" customWidth="1"/>
    <col min="5373" max="5374" width="9.140625" style="118" bestFit="1" customWidth="1"/>
    <col min="5375" max="5376" width="11.140625" style="118" bestFit="1" customWidth="1"/>
    <col min="5377" max="5377" width="11.5703125" style="118" bestFit="1" customWidth="1"/>
    <col min="5378" max="5378" width="9.140625" style="118" bestFit="1" customWidth="1"/>
    <col min="5379" max="5379" width="10.28515625" style="118" customWidth="1"/>
    <col min="5380" max="5618" width="9.140625" style="118"/>
    <col min="5619" max="5619" width="4.28515625" style="118" bestFit="1" customWidth="1"/>
    <col min="5620" max="5620" width="6.85546875" style="118" bestFit="1" customWidth="1"/>
    <col min="5621" max="5621" width="11" style="118" customWidth="1"/>
    <col min="5622" max="5622" width="11.140625" style="118" bestFit="1" customWidth="1"/>
    <col min="5623" max="5623" width="10.85546875" style="118" customWidth="1"/>
    <col min="5624" max="5624" width="11.5703125" style="118" customWidth="1"/>
    <col min="5625" max="5625" width="11.140625" style="118" bestFit="1" customWidth="1"/>
    <col min="5626" max="5626" width="11" style="118" customWidth="1"/>
    <col min="5627" max="5627" width="10.42578125" style="118" customWidth="1"/>
    <col min="5628" max="5628" width="11.28515625" style="118" customWidth="1"/>
    <col min="5629" max="5630" width="9.140625" style="118" bestFit="1" customWidth="1"/>
    <col min="5631" max="5632" width="11.140625" style="118" bestFit="1" customWidth="1"/>
    <col min="5633" max="5633" width="11.5703125" style="118" bestFit="1" customWidth="1"/>
    <col min="5634" max="5634" width="9.140625" style="118" bestFit="1" customWidth="1"/>
    <col min="5635" max="5635" width="10.28515625" style="118" customWidth="1"/>
    <col min="5636" max="5874" width="9.140625" style="118"/>
    <col min="5875" max="5875" width="4.28515625" style="118" bestFit="1" customWidth="1"/>
    <col min="5876" max="5876" width="6.85546875" style="118" bestFit="1" customWidth="1"/>
    <col min="5877" max="5877" width="11" style="118" customWidth="1"/>
    <col min="5878" max="5878" width="11.140625" style="118" bestFit="1" customWidth="1"/>
    <col min="5879" max="5879" width="10.85546875" style="118" customWidth="1"/>
    <col min="5880" max="5880" width="11.5703125" style="118" customWidth="1"/>
    <col min="5881" max="5881" width="11.140625" style="118" bestFit="1" customWidth="1"/>
    <col min="5882" max="5882" width="11" style="118" customWidth="1"/>
    <col min="5883" max="5883" width="10.42578125" style="118" customWidth="1"/>
    <col min="5884" max="5884" width="11.28515625" style="118" customWidth="1"/>
    <col min="5885" max="5886" width="9.140625" style="118" bestFit="1" customWidth="1"/>
    <col min="5887" max="5888" width="11.140625" style="118" bestFit="1" customWidth="1"/>
    <col min="5889" max="5889" width="11.5703125" style="118" bestFit="1" customWidth="1"/>
    <col min="5890" max="5890" width="9.140625" style="118" bestFit="1" customWidth="1"/>
    <col min="5891" max="5891" width="10.28515625" style="118" customWidth="1"/>
    <col min="5892" max="6130" width="9.140625" style="118"/>
    <col min="6131" max="6131" width="4.28515625" style="118" bestFit="1" customWidth="1"/>
    <col min="6132" max="6132" width="6.85546875" style="118" bestFit="1" customWidth="1"/>
    <col min="6133" max="6133" width="11" style="118" customWidth="1"/>
    <col min="6134" max="6134" width="11.140625" style="118" bestFit="1" customWidth="1"/>
    <col min="6135" max="6135" width="10.85546875" style="118" customWidth="1"/>
    <col min="6136" max="6136" width="11.5703125" style="118" customWidth="1"/>
    <col min="6137" max="6137" width="11.140625" style="118" bestFit="1" customWidth="1"/>
    <col min="6138" max="6138" width="11" style="118" customWidth="1"/>
    <col min="6139" max="6139" width="10.42578125" style="118" customWidth="1"/>
    <col min="6140" max="6140" width="11.28515625" style="118" customWidth="1"/>
    <col min="6141" max="6142" width="9.140625" style="118" bestFit="1" customWidth="1"/>
    <col min="6143" max="6144" width="11.140625" style="118" bestFit="1" customWidth="1"/>
    <col min="6145" max="6145" width="11.5703125" style="118" bestFit="1" customWidth="1"/>
    <col min="6146" max="6146" width="9.140625" style="118" bestFit="1" customWidth="1"/>
    <col min="6147" max="6147" width="10.28515625" style="118" customWidth="1"/>
    <col min="6148" max="6386" width="9.140625" style="118"/>
    <col min="6387" max="6387" width="4.28515625" style="118" bestFit="1" customWidth="1"/>
    <col min="6388" max="6388" width="6.85546875" style="118" bestFit="1" customWidth="1"/>
    <col min="6389" max="6389" width="11" style="118" customWidth="1"/>
    <col min="6390" max="6390" width="11.140625" style="118" bestFit="1" customWidth="1"/>
    <col min="6391" max="6391" width="10.85546875" style="118" customWidth="1"/>
    <col min="6392" max="6392" width="11.5703125" style="118" customWidth="1"/>
    <col min="6393" max="6393" width="11.140625" style="118" bestFit="1" customWidth="1"/>
    <col min="6394" max="6394" width="11" style="118" customWidth="1"/>
    <col min="6395" max="6395" width="10.42578125" style="118" customWidth="1"/>
    <col min="6396" max="6396" width="11.28515625" style="118" customWidth="1"/>
    <col min="6397" max="6398" width="9.140625" style="118" bestFit="1" customWidth="1"/>
    <col min="6399" max="6400" width="11.140625" style="118" bestFit="1" customWidth="1"/>
    <col min="6401" max="6401" width="11.5703125" style="118" bestFit="1" customWidth="1"/>
    <col min="6402" max="6402" width="9.140625" style="118" bestFit="1" customWidth="1"/>
    <col min="6403" max="6403" width="10.28515625" style="118" customWidth="1"/>
    <col min="6404" max="6642" width="9.140625" style="118"/>
    <col min="6643" max="6643" width="4.28515625" style="118" bestFit="1" customWidth="1"/>
    <col min="6644" max="6644" width="6.85546875" style="118" bestFit="1" customWidth="1"/>
    <col min="6645" max="6645" width="11" style="118" customWidth="1"/>
    <col min="6646" max="6646" width="11.140625" style="118" bestFit="1" customWidth="1"/>
    <col min="6647" max="6647" width="10.85546875" style="118" customWidth="1"/>
    <col min="6648" max="6648" width="11.5703125" style="118" customWidth="1"/>
    <col min="6649" max="6649" width="11.140625" style="118" bestFit="1" customWidth="1"/>
    <col min="6650" max="6650" width="11" style="118" customWidth="1"/>
    <col min="6651" max="6651" width="10.42578125" style="118" customWidth="1"/>
    <col min="6652" max="6652" width="11.28515625" style="118" customWidth="1"/>
    <col min="6653" max="6654" width="9.140625" style="118" bestFit="1" customWidth="1"/>
    <col min="6655" max="6656" width="11.140625" style="118" bestFit="1" customWidth="1"/>
    <col min="6657" max="6657" width="11.5703125" style="118" bestFit="1" customWidth="1"/>
    <col min="6658" max="6658" width="9.140625" style="118" bestFit="1" customWidth="1"/>
    <col min="6659" max="6659" width="10.28515625" style="118" customWidth="1"/>
    <col min="6660" max="6898" width="9.140625" style="118"/>
    <col min="6899" max="6899" width="4.28515625" style="118" bestFit="1" customWidth="1"/>
    <col min="6900" max="6900" width="6.85546875" style="118" bestFit="1" customWidth="1"/>
    <col min="6901" max="6901" width="11" style="118" customWidth="1"/>
    <col min="6902" max="6902" width="11.140625" style="118" bestFit="1" customWidth="1"/>
    <col min="6903" max="6903" width="10.85546875" style="118" customWidth="1"/>
    <col min="6904" max="6904" width="11.5703125" style="118" customWidth="1"/>
    <col min="6905" max="6905" width="11.140625" style="118" bestFit="1" customWidth="1"/>
    <col min="6906" max="6906" width="11" style="118" customWidth="1"/>
    <col min="6907" max="6907" width="10.42578125" style="118" customWidth="1"/>
    <col min="6908" max="6908" width="11.28515625" style="118" customWidth="1"/>
    <col min="6909" max="6910" width="9.140625" style="118" bestFit="1" customWidth="1"/>
    <col min="6911" max="6912" width="11.140625" style="118" bestFit="1" customWidth="1"/>
    <col min="6913" max="6913" width="11.5703125" style="118" bestFit="1" customWidth="1"/>
    <col min="6914" max="6914" width="9.140625" style="118" bestFit="1" customWidth="1"/>
    <col min="6915" max="6915" width="10.28515625" style="118" customWidth="1"/>
    <col min="6916" max="7154" width="9.140625" style="118"/>
    <col min="7155" max="7155" width="4.28515625" style="118" bestFit="1" customWidth="1"/>
    <col min="7156" max="7156" width="6.85546875" style="118" bestFit="1" customWidth="1"/>
    <col min="7157" max="7157" width="11" style="118" customWidth="1"/>
    <col min="7158" max="7158" width="11.140625" style="118" bestFit="1" customWidth="1"/>
    <col min="7159" max="7159" width="10.85546875" style="118" customWidth="1"/>
    <col min="7160" max="7160" width="11.5703125" style="118" customWidth="1"/>
    <col min="7161" max="7161" width="11.140625" style="118" bestFit="1" customWidth="1"/>
    <col min="7162" max="7162" width="11" style="118" customWidth="1"/>
    <col min="7163" max="7163" width="10.42578125" style="118" customWidth="1"/>
    <col min="7164" max="7164" width="11.28515625" style="118" customWidth="1"/>
    <col min="7165" max="7166" width="9.140625" style="118" bestFit="1" customWidth="1"/>
    <col min="7167" max="7168" width="11.140625" style="118" bestFit="1" customWidth="1"/>
    <col min="7169" max="7169" width="11.5703125" style="118" bestFit="1" customWidth="1"/>
    <col min="7170" max="7170" width="9.140625" style="118" bestFit="1" customWidth="1"/>
    <col min="7171" max="7171" width="10.28515625" style="118" customWidth="1"/>
    <col min="7172" max="7410" width="9.140625" style="118"/>
    <col min="7411" max="7411" width="4.28515625" style="118" bestFit="1" customWidth="1"/>
    <col min="7412" max="7412" width="6.85546875" style="118" bestFit="1" customWidth="1"/>
    <col min="7413" max="7413" width="11" style="118" customWidth="1"/>
    <col min="7414" max="7414" width="11.140625" style="118" bestFit="1" customWidth="1"/>
    <col min="7415" max="7415" width="10.85546875" style="118" customWidth="1"/>
    <col min="7416" max="7416" width="11.5703125" style="118" customWidth="1"/>
    <col min="7417" max="7417" width="11.140625" style="118" bestFit="1" customWidth="1"/>
    <col min="7418" max="7418" width="11" style="118" customWidth="1"/>
    <col min="7419" max="7419" width="10.42578125" style="118" customWidth="1"/>
    <col min="7420" max="7420" width="11.28515625" style="118" customWidth="1"/>
    <col min="7421" max="7422" width="9.140625" style="118" bestFit="1" customWidth="1"/>
    <col min="7423" max="7424" width="11.140625" style="118" bestFit="1" customWidth="1"/>
    <col min="7425" max="7425" width="11.5703125" style="118" bestFit="1" customWidth="1"/>
    <col min="7426" max="7426" width="9.140625" style="118" bestFit="1" customWidth="1"/>
    <col min="7427" max="7427" width="10.28515625" style="118" customWidth="1"/>
    <col min="7428" max="7666" width="9.140625" style="118"/>
    <col min="7667" max="7667" width="4.28515625" style="118" bestFit="1" customWidth="1"/>
    <col min="7668" max="7668" width="6.85546875" style="118" bestFit="1" customWidth="1"/>
    <col min="7669" max="7669" width="11" style="118" customWidth="1"/>
    <col min="7670" max="7670" width="11.140625" style="118" bestFit="1" customWidth="1"/>
    <col min="7671" max="7671" width="10.85546875" style="118" customWidth="1"/>
    <col min="7672" max="7672" width="11.5703125" style="118" customWidth="1"/>
    <col min="7673" max="7673" width="11.140625" style="118" bestFit="1" customWidth="1"/>
    <col min="7674" max="7674" width="11" style="118" customWidth="1"/>
    <col min="7675" max="7675" width="10.42578125" style="118" customWidth="1"/>
    <col min="7676" max="7676" width="11.28515625" style="118" customWidth="1"/>
    <col min="7677" max="7678" width="9.140625" style="118" bestFit="1" customWidth="1"/>
    <col min="7679" max="7680" width="11.140625" style="118" bestFit="1" customWidth="1"/>
    <col min="7681" max="7681" width="11.5703125" style="118" bestFit="1" customWidth="1"/>
    <col min="7682" max="7682" width="9.140625" style="118" bestFit="1" customWidth="1"/>
    <col min="7683" max="7683" width="10.28515625" style="118" customWidth="1"/>
    <col min="7684" max="7922" width="9.140625" style="118"/>
    <col min="7923" max="7923" width="4.28515625" style="118" bestFit="1" customWidth="1"/>
    <col min="7924" max="7924" width="6.85546875" style="118" bestFit="1" customWidth="1"/>
    <col min="7925" max="7925" width="11" style="118" customWidth="1"/>
    <col min="7926" max="7926" width="11.140625" style="118" bestFit="1" customWidth="1"/>
    <col min="7927" max="7927" width="10.85546875" style="118" customWidth="1"/>
    <col min="7928" max="7928" width="11.5703125" style="118" customWidth="1"/>
    <col min="7929" max="7929" width="11.140625" style="118" bestFit="1" customWidth="1"/>
    <col min="7930" max="7930" width="11" style="118" customWidth="1"/>
    <col min="7931" max="7931" width="10.42578125" style="118" customWidth="1"/>
    <col min="7932" max="7932" width="11.28515625" style="118" customWidth="1"/>
    <col min="7933" max="7934" width="9.140625" style="118" bestFit="1" customWidth="1"/>
    <col min="7935" max="7936" width="11.140625" style="118" bestFit="1" customWidth="1"/>
    <col min="7937" max="7937" width="11.5703125" style="118" bestFit="1" customWidth="1"/>
    <col min="7938" max="7938" width="9.140625" style="118" bestFit="1" customWidth="1"/>
    <col min="7939" max="7939" width="10.28515625" style="118" customWidth="1"/>
    <col min="7940" max="8178" width="9.140625" style="118"/>
    <col min="8179" max="8179" width="4.28515625" style="118" bestFit="1" customWidth="1"/>
    <col min="8180" max="8180" width="6.85546875" style="118" bestFit="1" customWidth="1"/>
    <col min="8181" max="8181" width="11" style="118" customWidth="1"/>
    <col min="8182" max="8182" width="11.140625" style="118" bestFit="1" customWidth="1"/>
    <col min="8183" max="8183" width="10.85546875" style="118" customWidth="1"/>
    <col min="8184" max="8184" width="11.5703125" style="118" customWidth="1"/>
    <col min="8185" max="8185" width="11.140625" style="118" bestFit="1" customWidth="1"/>
    <col min="8186" max="8186" width="11" style="118" customWidth="1"/>
    <col min="8187" max="8187" width="10.42578125" style="118" customWidth="1"/>
    <col min="8188" max="8188" width="11.28515625" style="118" customWidth="1"/>
    <col min="8189" max="8190" width="9.140625" style="118" bestFit="1" customWidth="1"/>
    <col min="8191" max="8192" width="11.140625" style="118" bestFit="1" customWidth="1"/>
    <col min="8193" max="8193" width="11.5703125" style="118" bestFit="1" customWidth="1"/>
    <col min="8194" max="8194" width="9.140625" style="118" bestFit="1" customWidth="1"/>
    <col min="8195" max="8195" width="10.28515625" style="118" customWidth="1"/>
    <col min="8196" max="8434" width="9.140625" style="118"/>
    <col min="8435" max="8435" width="4.28515625" style="118" bestFit="1" customWidth="1"/>
    <col min="8436" max="8436" width="6.85546875" style="118" bestFit="1" customWidth="1"/>
    <col min="8437" max="8437" width="11" style="118" customWidth="1"/>
    <col min="8438" max="8438" width="11.140625" style="118" bestFit="1" customWidth="1"/>
    <col min="8439" max="8439" width="10.85546875" style="118" customWidth="1"/>
    <col min="8440" max="8440" width="11.5703125" style="118" customWidth="1"/>
    <col min="8441" max="8441" width="11.140625" style="118" bestFit="1" customWidth="1"/>
    <col min="8442" max="8442" width="11" style="118" customWidth="1"/>
    <col min="8443" max="8443" width="10.42578125" style="118" customWidth="1"/>
    <col min="8444" max="8444" width="11.28515625" style="118" customWidth="1"/>
    <col min="8445" max="8446" width="9.140625" style="118" bestFit="1" customWidth="1"/>
    <col min="8447" max="8448" width="11.140625" style="118" bestFit="1" customWidth="1"/>
    <col min="8449" max="8449" width="11.5703125" style="118" bestFit="1" customWidth="1"/>
    <col min="8450" max="8450" width="9.140625" style="118" bestFit="1" customWidth="1"/>
    <col min="8451" max="8451" width="10.28515625" style="118" customWidth="1"/>
    <col min="8452" max="8690" width="9.140625" style="118"/>
    <col min="8691" max="8691" width="4.28515625" style="118" bestFit="1" customWidth="1"/>
    <col min="8692" max="8692" width="6.85546875" style="118" bestFit="1" customWidth="1"/>
    <col min="8693" max="8693" width="11" style="118" customWidth="1"/>
    <col min="8694" max="8694" width="11.140625" style="118" bestFit="1" customWidth="1"/>
    <col min="8695" max="8695" width="10.85546875" style="118" customWidth="1"/>
    <col min="8696" max="8696" width="11.5703125" style="118" customWidth="1"/>
    <col min="8697" max="8697" width="11.140625" style="118" bestFit="1" customWidth="1"/>
    <col min="8698" max="8698" width="11" style="118" customWidth="1"/>
    <col min="8699" max="8699" width="10.42578125" style="118" customWidth="1"/>
    <col min="8700" max="8700" width="11.28515625" style="118" customWidth="1"/>
    <col min="8701" max="8702" width="9.140625" style="118" bestFit="1" customWidth="1"/>
    <col min="8703" max="8704" width="11.140625" style="118" bestFit="1" customWidth="1"/>
    <col min="8705" max="8705" width="11.5703125" style="118" bestFit="1" customWidth="1"/>
    <col min="8706" max="8706" width="9.140625" style="118" bestFit="1" customWidth="1"/>
    <col min="8707" max="8707" width="10.28515625" style="118" customWidth="1"/>
    <col min="8708" max="8946" width="9.140625" style="118"/>
    <col min="8947" max="8947" width="4.28515625" style="118" bestFit="1" customWidth="1"/>
    <col min="8948" max="8948" width="6.85546875" style="118" bestFit="1" customWidth="1"/>
    <col min="8949" max="8949" width="11" style="118" customWidth="1"/>
    <col min="8950" max="8950" width="11.140625" style="118" bestFit="1" customWidth="1"/>
    <col min="8951" max="8951" width="10.85546875" style="118" customWidth="1"/>
    <col min="8952" max="8952" width="11.5703125" style="118" customWidth="1"/>
    <col min="8953" max="8953" width="11.140625" style="118" bestFit="1" customWidth="1"/>
    <col min="8954" max="8954" width="11" style="118" customWidth="1"/>
    <col min="8955" max="8955" width="10.42578125" style="118" customWidth="1"/>
    <col min="8956" max="8956" width="11.28515625" style="118" customWidth="1"/>
    <col min="8957" max="8958" width="9.140625" style="118" bestFit="1" customWidth="1"/>
    <col min="8959" max="8960" width="11.140625" style="118" bestFit="1" customWidth="1"/>
    <col min="8961" max="8961" width="11.5703125" style="118" bestFit="1" customWidth="1"/>
    <col min="8962" max="8962" width="9.140625" style="118" bestFit="1" customWidth="1"/>
    <col min="8963" max="8963" width="10.28515625" style="118" customWidth="1"/>
    <col min="8964" max="9202" width="9.140625" style="118"/>
    <col min="9203" max="9203" width="4.28515625" style="118" bestFit="1" customWidth="1"/>
    <col min="9204" max="9204" width="6.85546875" style="118" bestFit="1" customWidth="1"/>
    <col min="9205" max="9205" width="11" style="118" customWidth="1"/>
    <col min="9206" max="9206" width="11.140625" style="118" bestFit="1" customWidth="1"/>
    <col min="9207" max="9207" width="10.85546875" style="118" customWidth="1"/>
    <col min="9208" max="9208" width="11.5703125" style="118" customWidth="1"/>
    <col min="9209" max="9209" width="11.140625" style="118" bestFit="1" customWidth="1"/>
    <col min="9210" max="9210" width="11" style="118" customWidth="1"/>
    <col min="9211" max="9211" width="10.42578125" style="118" customWidth="1"/>
    <col min="9212" max="9212" width="11.28515625" style="118" customWidth="1"/>
    <col min="9213" max="9214" width="9.140625" style="118" bestFit="1" customWidth="1"/>
    <col min="9215" max="9216" width="11.140625" style="118" bestFit="1" customWidth="1"/>
    <col min="9217" max="9217" width="11.5703125" style="118" bestFit="1" customWidth="1"/>
    <col min="9218" max="9218" width="9.140625" style="118" bestFit="1" customWidth="1"/>
    <col min="9219" max="9219" width="10.28515625" style="118" customWidth="1"/>
    <col min="9220" max="9458" width="9.140625" style="118"/>
    <col min="9459" max="9459" width="4.28515625" style="118" bestFit="1" customWidth="1"/>
    <col min="9460" max="9460" width="6.85546875" style="118" bestFit="1" customWidth="1"/>
    <col min="9461" max="9461" width="11" style="118" customWidth="1"/>
    <col min="9462" max="9462" width="11.140625" style="118" bestFit="1" customWidth="1"/>
    <col min="9463" max="9463" width="10.85546875" style="118" customWidth="1"/>
    <col min="9464" max="9464" width="11.5703125" style="118" customWidth="1"/>
    <col min="9465" max="9465" width="11.140625" style="118" bestFit="1" customWidth="1"/>
    <col min="9466" max="9466" width="11" style="118" customWidth="1"/>
    <col min="9467" max="9467" width="10.42578125" style="118" customWidth="1"/>
    <col min="9468" max="9468" width="11.28515625" style="118" customWidth="1"/>
    <col min="9469" max="9470" width="9.140625" style="118" bestFit="1" customWidth="1"/>
    <col min="9471" max="9472" width="11.140625" style="118" bestFit="1" customWidth="1"/>
    <col min="9473" max="9473" width="11.5703125" style="118" bestFit="1" customWidth="1"/>
    <col min="9474" max="9474" width="9.140625" style="118" bestFit="1" customWidth="1"/>
    <col min="9475" max="9475" width="10.28515625" style="118" customWidth="1"/>
    <col min="9476" max="9714" width="9.140625" style="118"/>
    <col min="9715" max="9715" width="4.28515625" style="118" bestFit="1" customWidth="1"/>
    <col min="9716" max="9716" width="6.85546875" style="118" bestFit="1" customWidth="1"/>
    <col min="9717" max="9717" width="11" style="118" customWidth="1"/>
    <col min="9718" max="9718" width="11.140625" style="118" bestFit="1" customWidth="1"/>
    <col min="9719" max="9719" width="10.85546875" style="118" customWidth="1"/>
    <col min="9720" max="9720" width="11.5703125" style="118" customWidth="1"/>
    <col min="9721" max="9721" width="11.140625" style="118" bestFit="1" customWidth="1"/>
    <col min="9722" max="9722" width="11" style="118" customWidth="1"/>
    <col min="9723" max="9723" width="10.42578125" style="118" customWidth="1"/>
    <col min="9724" max="9724" width="11.28515625" style="118" customWidth="1"/>
    <col min="9725" max="9726" width="9.140625" style="118" bestFit="1" customWidth="1"/>
    <col min="9727" max="9728" width="11.140625" style="118" bestFit="1" customWidth="1"/>
    <col min="9729" max="9729" width="11.5703125" style="118" bestFit="1" customWidth="1"/>
    <col min="9730" max="9730" width="9.140625" style="118" bestFit="1" customWidth="1"/>
    <col min="9731" max="9731" width="10.28515625" style="118" customWidth="1"/>
    <col min="9732" max="9970" width="9.140625" style="118"/>
    <col min="9971" max="9971" width="4.28515625" style="118" bestFit="1" customWidth="1"/>
    <col min="9972" max="9972" width="6.85546875" style="118" bestFit="1" customWidth="1"/>
    <col min="9973" max="9973" width="11" style="118" customWidth="1"/>
    <col min="9974" max="9974" width="11.140625" style="118" bestFit="1" customWidth="1"/>
    <col min="9975" max="9975" width="10.85546875" style="118" customWidth="1"/>
    <col min="9976" max="9976" width="11.5703125" style="118" customWidth="1"/>
    <col min="9977" max="9977" width="11.140625" style="118" bestFit="1" customWidth="1"/>
    <col min="9978" max="9978" width="11" style="118" customWidth="1"/>
    <col min="9979" max="9979" width="10.42578125" style="118" customWidth="1"/>
    <col min="9980" max="9980" width="11.28515625" style="118" customWidth="1"/>
    <col min="9981" max="9982" width="9.140625" style="118" bestFit="1" customWidth="1"/>
    <col min="9983" max="9984" width="11.140625" style="118" bestFit="1" customWidth="1"/>
    <col min="9985" max="9985" width="11.5703125" style="118" bestFit="1" customWidth="1"/>
    <col min="9986" max="9986" width="9.140625" style="118" bestFit="1" customWidth="1"/>
    <col min="9987" max="9987" width="10.28515625" style="118" customWidth="1"/>
    <col min="9988" max="10226" width="9.140625" style="118"/>
    <col min="10227" max="10227" width="4.28515625" style="118" bestFit="1" customWidth="1"/>
    <col min="10228" max="10228" width="6.85546875" style="118" bestFit="1" customWidth="1"/>
    <col min="10229" max="10229" width="11" style="118" customWidth="1"/>
    <col min="10230" max="10230" width="11.140625" style="118" bestFit="1" customWidth="1"/>
    <col min="10231" max="10231" width="10.85546875" style="118" customWidth="1"/>
    <col min="10232" max="10232" width="11.5703125" style="118" customWidth="1"/>
    <col min="10233" max="10233" width="11.140625" style="118" bestFit="1" customWidth="1"/>
    <col min="10234" max="10234" width="11" style="118" customWidth="1"/>
    <col min="10235" max="10235" width="10.42578125" style="118" customWidth="1"/>
    <col min="10236" max="10236" width="11.28515625" style="118" customWidth="1"/>
    <col min="10237" max="10238" width="9.140625" style="118" bestFit="1" customWidth="1"/>
    <col min="10239" max="10240" width="11.140625" style="118" bestFit="1" customWidth="1"/>
    <col min="10241" max="10241" width="11.5703125" style="118" bestFit="1" customWidth="1"/>
    <col min="10242" max="10242" width="9.140625" style="118" bestFit="1" customWidth="1"/>
    <col min="10243" max="10243" width="10.28515625" style="118" customWidth="1"/>
    <col min="10244" max="10482" width="9.140625" style="118"/>
    <col min="10483" max="10483" width="4.28515625" style="118" bestFit="1" customWidth="1"/>
    <col min="10484" max="10484" width="6.85546875" style="118" bestFit="1" customWidth="1"/>
    <col min="10485" max="10485" width="11" style="118" customWidth="1"/>
    <col min="10486" max="10486" width="11.140625" style="118" bestFit="1" customWidth="1"/>
    <col min="10487" max="10487" width="10.85546875" style="118" customWidth="1"/>
    <col min="10488" max="10488" width="11.5703125" style="118" customWidth="1"/>
    <col min="10489" max="10489" width="11.140625" style="118" bestFit="1" customWidth="1"/>
    <col min="10490" max="10490" width="11" style="118" customWidth="1"/>
    <col min="10491" max="10491" width="10.42578125" style="118" customWidth="1"/>
    <col min="10492" max="10492" width="11.28515625" style="118" customWidth="1"/>
    <col min="10493" max="10494" width="9.140625" style="118" bestFit="1" customWidth="1"/>
    <col min="10495" max="10496" width="11.140625" style="118" bestFit="1" customWidth="1"/>
    <col min="10497" max="10497" width="11.5703125" style="118" bestFit="1" customWidth="1"/>
    <col min="10498" max="10498" width="9.140625" style="118" bestFit="1" customWidth="1"/>
    <col min="10499" max="10499" width="10.28515625" style="118" customWidth="1"/>
    <col min="10500" max="10738" width="9.140625" style="118"/>
    <col min="10739" max="10739" width="4.28515625" style="118" bestFit="1" customWidth="1"/>
    <col min="10740" max="10740" width="6.85546875" style="118" bestFit="1" customWidth="1"/>
    <col min="10741" max="10741" width="11" style="118" customWidth="1"/>
    <col min="10742" max="10742" width="11.140625" style="118" bestFit="1" customWidth="1"/>
    <col min="10743" max="10743" width="10.85546875" style="118" customWidth="1"/>
    <col min="10744" max="10744" width="11.5703125" style="118" customWidth="1"/>
    <col min="10745" max="10745" width="11.140625" style="118" bestFit="1" customWidth="1"/>
    <col min="10746" max="10746" width="11" style="118" customWidth="1"/>
    <col min="10747" max="10747" width="10.42578125" style="118" customWidth="1"/>
    <col min="10748" max="10748" width="11.28515625" style="118" customWidth="1"/>
    <col min="10749" max="10750" width="9.140625" style="118" bestFit="1" customWidth="1"/>
    <col min="10751" max="10752" width="11.140625" style="118" bestFit="1" customWidth="1"/>
    <col min="10753" max="10753" width="11.5703125" style="118" bestFit="1" customWidth="1"/>
    <col min="10754" max="10754" width="9.140625" style="118" bestFit="1" customWidth="1"/>
    <col min="10755" max="10755" width="10.28515625" style="118" customWidth="1"/>
    <col min="10756" max="10994" width="9.140625" style="118"/>
    <col min="10995" max="10995" width="4.28515625" style="118" bestFit="1" customWidth="1"/>
    <col min="10996" max="10996" width="6.85546875" style="118" bestFit="1" customWidth="1"/>
    <col min="10997" max="10997" width="11" style="118" customWidth="1"/>
    <col min="10998" max="10998" width="11.140625" style="118" bestFit="1" customWidth="1"/>
    <col min="10999" max="10999" width="10.85546875" style="118" customWidth="1"/>
    <col min="11000" max="11000" width="11.5703125" style="118" customWidth="1"/>
    <col min="11001" max="11001" width="11.140625" style="118" bestFit="1" customWidth="1"/>
    <col min="11002" max="11002" width="11" style="118" customWidth="1"/>
    <col min="11003" max="11003" width="10.42578125" style="118" customWidth="1"/>
    <col min="11004" max="11004" width="11.28515625" style="118" customWidth="1"/>
    <col min="11005" max="11006" width="9.140625" style="118" bestFit="1" customWidth="1"/>
    <col min="11007" max="11008" width="11.140625" style="118" bestFit="1" customWidth="1"/>
    <col min="11009" max="11009" width="11.5703125" style="118" bestFit="1" customWidth="1"/>
    <col min="11010" max="11010" width="9.140625" style="118" bestFit="1" customWidth="1"/>
    <col min="11011" max="11011" width="10.28515625" style="118" customWidth="1"/>
    <col min="11012" max="11250" width="9.140625" style="118"/>
    <col min="11251" max="11251" width="4.28515625" style="118" bestFit="1" customWidth="1"/>
    <col min="11252" max="11252" width="6.85546875" style="118" bestFit="1" customWidth="1"/>
    <col min="11253" max="11253" width="11" style="118" customWidth="1"/>
    <col min="11254" max="11254" width="11.140625" style="118" bestFit="1" customWidth="1"/>
    <col min="11255" max="11255" width="10.85546875" style="118" customWidth="1"/>
    <col min="11256" max="11256" width="11.5703125" style="118" customWidth="1"/>
    <col min="11257" max="11257" width="11.140625" style="118" bestFit="1" customWidth="1"/>
    <col min="11258" max="11258" width="11" style="118" customWidth="1"/>
    <col min="11259" max="11259" width="10.42578125" style="118" customWidth="1"/>
    <col min="11260" max="11260" width="11.28515625" style="118" customWidth="1"/>
    <col min="11261" max="11262" width="9.140625" style="118" bestFit="1" customWidth="1"/>
    <col min="11263" max="11264" width="11.140625" style="118" bestFit="1" customWidth="1"/>
    <col min="11265" max="11265" width="11.5703125" style="118" bestFit="1" customWidth="1"/>
    <col min="11266" max="11266" width="9.140625" style="118" bestFit="1" customWidth="1"/>
    <col min="11267" max="11267" width="10.28515625" style="118" customWidth="1"/>
    <col min="11268" max="11506" width="9.140625" style="118"/>
    <col min="11507" max="11507" width="4.28515625" style="118" bestFit="1" customWidth="1"/>
    <col min="11508" max="11508" width="6.85546875" style="118" bestFit="1" customWidth="1"/>
    <col min="11509" max="11509" width="11" style="118" customWidth="1"/>
    <col min="11510" max="11510" width="11.140625" style="118" bestFit="1" customWidth="1"/>
    <col min="11511" max="11511" width="10.85546875" style="118" customWidth="1"/>
    <col min="11512" max="11512" width="11.5703125" style="118" customWidth="1"/>
    <col min="11513" max="11513" width="11.140625" style="118" bestFit="1" customWidth="1"/>
    <col min="11514" max="11514" width="11" style="118" customWidth="1"/>
    <col min="11515" max="11515" width="10.42578125" style="118" customWidth="1"/>
    <col min="11516" max="11516" width="11.28515625" style="118" customWidth="1"/>
    <col min="11517" max="11518" width="9.140625" style="118" bestFit="1" customWidth="1"/>
    <col min="11519" max="11520" width="11.140625" style="118" bestFit="1" customWidth="1"/>
    <col min="11521" max="11521" width="11.5703125" style="118" bestFit="1" customWidth="1"/>
    <col min="11522" max="11522" width="9.140625" style="118" bestFit="1" customWidth="1"/>
    <col min="11523" max="11523" width="10.28515625" style="118" customWidth="1"/>
    <col min="11524" max="11762" width="9.140625" style="118"/>
    <col min="11763" max="11763" width="4.28515625" style="118" bestFit="1" customWidth="1"/>
    <col min="11764" max="11764" width="6.85546875" style="118" bestFit="1" customWidth="1"/>
    <col min="11765" max="11765" width="11" style="118" customWidth="1"/>
    <col min="11766" max="11766" width="11.140625" style="118" bestFit="1" customWidth="1"/>
    <col min="11767" max="11767" width="10.85546875" style="118" customWidth="1"/>
    <col min="11768" max="11768" width="11.5703125" style="118" customWidth="1"/>
    <col min="11769" max="11769" width="11.140625" style="118" bestFit="1" customWidth="1"/>
    <col min="11770" max="11770" width="11" style="118" customWidth="1"/>
    <col min="11771" max="11771" width="10.42578125" style="118" customWidth="1"/>
    <col min="11772" max="11772" width="11.28515625" style="118" customWidth="1"/>
    <col min="11773" max="11774" width="9.140625" style="118" bestFit="1" customWidth="1"/>
    <col min="11775" max="11776" width="11.140625" style="118" bestFit="1" customWidth="1"/>
    <col min="11777" max="11777" width="11.5703125" style="118" bestFit="1" customWidth="1"/>
    <col min="11778" max="11778" width="9.140625" style="118" bestFit="1" customWidth="1"/>
    <col min="11779" max="11779" width="10.28515625" style="118" customWidth="1"/>
    <col min="11780" max="12018" width="9.140625" style="118"/>
    <col min="12019" max="12019" width="4.28515625" style="118" bestFit="1" customWidth="1"/>
    <col min="12020" max="12020" width="6.85546875" style="118" bestFit="1" customWidth="1"/>
    <col min="12021" max="12021" width="11" style="118" customWidth="1"/>
    <col min="12022" max="12022" width="11.140625" style="118" bestFit="1" customWidth="1"/>
    <col min="12023" max="12023" width="10.85546875" style="118" customWidth="1"/>
    <col min="12024" max="12024" width="11.5703125" style="118" customWidth="1"/>
    <col min="12025" max="12025" width="11.140625" style="118" bestFit="1" customWidth="1"/>
    <col min="12026" max="12026" width="11" style="118" customWidth="1"/>
    <col min="12027" max="12027" width="10.42578125" style="118" customWidth="1"/>
    <col min="12028" max="12028" width="11.28515625" style="118" customWidth="1"/>
    <col min="12029" max="12030" width="9.140625" style="118" bestFit="1" customWidth="1"/>
    <col min="12031" max="12032" width="11.140625" style="118" bestFit="1" customWidth="1"/>
    <col min="12033" max="12033" width="11.5703125" style="118" bestFit="1" customWidth="1"/>
    <col min="12034" max="12034" width="9.140625" style="118" bestFit="1" customWidth="1"/>
    <col min="12035" max="12035" width="10.28515625" style="118" customWidth="1"/>
    <col min="12036" max="12274" width="9.140625" style="118"/>
    <col min="12275" max="12275" width="4.28515625" style="118" bestFit="1" customWidth="1"/>
    <col min="12276" max="12276" width="6.85546875" style="118" bestFit="1" customWidth="1"/>
    <col min="12277" max="12277" width="11" style="118" customWidth="1"/>
    <col min="12278" max="12278" width="11.140625" style="118" bestFit="1" customWidth="1"/>
    <col min="12279" max="12279" width="10.85546875" style="118" customWidth="1"/>
    <col min="12280" max="12280" width="11.5703125" style="118" customWidth="1"/>
    <col min="12281" max="12281" width="11.140625" style="118" bestFit="1" customWidth="1"/>
    <col min="12282" max="12282" width="11" style="118" customWidth="1"/>
    <col min="12283" max="12283" width="10.42578125" style="118" customWidth="1"/>
    <col min="12284" max="12284" width="11.28515625" style="118" customWidth="1"/>
    <col min="12285" max="12286" width="9.140625" style="118" bestFit="1" customWidth="1"/>
    <col min="12287" max="12288" width="11.140625" style="118" bestFit="1" customWidth="1"/>
    <col min="12289" max="12289" width="11.5703125" style="118" bestFit="1" customWidth="1"/>
    <col min="12290" max="12290" width="9.140625" style="118" bestFit="1" customWidth="1"/>
    <col min="12291" max="12291" width="10.28515625" style="118" customWidth="1"/>
    <col min="12292" max="12530" width="9.140625" style="118"/>
    <col min="12531" max="12531" width="4.28515625" style="118" bestFit="1" customWidth="1"/>
    <col min="12532" max="12532" width="6.85546875" style="118" bestFit="1" customWidth="1"/>
    <col min="12533" max="12533" width="11" style="118" customWidth="1"/>
    <col min="12534" max="12534" width="11.140625" style="118" bestFit="1" customWidth="1"/>
    <col min="12535" max="12535" width="10.85546875" style="118" customWidth="1"/>
    <col min="12536" max="12536" width="11.5703125" style="118" customWidth="1"/>
    <col min="12537" max="12537" width="11.140625" style="118" bestFit="1" customWidth="1"/>
    <col min="12538" max="12538" width="11" style="118" customWidth="1"/>
    <col min="12539" max="12539" width="10.42578125" style="118" customWidth="1"/>
    <col min="12540" max="12540" width="11.28515625" style="118" customWidth="1"/>
    <col min="12541" max="12542" width="9.140625" style="118" bestFit="1" customWidth="1"/>
    <col min="12543" max="12544" width="11.140625" style="118" bestFit="1" customWidth="1"/>
    <col min="12545" max="12545" width="11.5703125" style="118" bestFit="1" customWidth="1"/>
    <col min="12546" max="12546" width="9.140625" style="118" bestFit="1" customWidth="1"/>
    <col min="12547" max="12547" width="10.28515625" style="118" customWidth="1"/>
    <col min="12548" max="12786" width="9.140625" style="118"/>
    <col min="12787" max="12787" width="4.28515625" style="118" bestFit="1" customWidth="1"/>
    <col min="12788" max="12788" width="6.85546875" style="118" bestFit="1" customWidth="1"/>
    <col min="12789" max="12789" width="11" style="118" customWidth="1"/>
    <col min="12790" max="12790" width="11.140625" style="118" bestFit="1" customWidth="1"/>
    <col min="12791" max="12791" width="10.85546875" style="118" customWidth="1"/>
    <col min="12792" max="12792" width="11.5703125" style="118" customWidth="1"/>
    <col min="12793" max="12793" width="11.140625" style="118" bestFit="1" customWidth="1"/>
    <col min="12794" max="12794" width="11" style="118" customWidth="1"/>
    <col min="12795" max="12795" width="10.42578125" style="118" customWidth="1"/>
    <col min="12796" max="12796" width="11.28515625" style="118" customWidth="1"/>
    <col min="12797" max="12798" width="9.140625" style="118" bestFit="1" customWidth="1"/>
    <col min="12799" max="12800" width="11.140625" style="118" bestFit="1" customWidth="1"/>
    <col min="12801" max="12801" width="11.5703125" style="118" bestFit="1" customWidth="1"/>
    <col min="12802" max="12802" width="9.140625" style="118" bestFit="1" customWidth="1"/>
    <col min="12803" max="12803" width="10.28515625" style="118" customWidth="1"/>
    <col min="12804" max="13042" width="9.140625" style="118"/>
    <col min="13043" max="13043" width="4.28515625" style="118" bestFit="1" customWidth="1"/>
    <col min="13044" max="13044" width="6.85546875" style="118" bestFit="1" customWidth="1"/>
    <col min="13045" max="13045" width="11" style="118" customWidth="1"/>
    <col min="13046" max="13046" width="11.140625" style="118" bestFit="1" customWidth="1"/>
    <col min="13047" max="13047" width="10.85546875" style="118" customWidth="1"/>
    <col min="13048" max="13048" width="11.5703125" style="118" customWidth="1"/>
    <col min="13049" max="13049" width="11.140625" style="118" bestFit="1" customWidth="1"/>
    <col min="13050" max="13050" width="11" style="118" customWidth="1"/>
    <col min="13051" max="13051" width="10.42578125" style="118" customWidth="1"/>
    <col min="13052" max="13052" width="11.28515625" style="118" customWidth="1"/>
    <col min="13053" max="13054" width="9.140625" style="118" bestFit="1" customWidth="1"/>
    <col min="13055" max="13056" width="11.140625" style="118" bestFit="1" customWidth="1"/>
    <col min="13057" max="13057" width="11.5703125" style="118" bestFit="1" customWidth="1"/>
    <col min="13058" max="13058" width="9.140625" style="118" bestFit="1" customWidth="1"/>
    <col min="13059" max="13059" width="10.28515625" style="118" customWidth="1"/>
    <col min="13060" max="13298" width="9.140625" style="118"/>
    <col min="13299" max="13299" width="4.28515625" style="118" bestFit="1" customWidth="1"/>
    <col min="13300" max="13300" width="6.85546875" style="118" bestFit="1" customWidth="1"/>
    <col min="13301" max="13301" width="11" style="118" customWidth="1"/>
    <col min="13302" max="13302" width="11.140625" style="118" bestFit="1" customWidth="1"/>
    <col min="13303" max="13303" width="10.85546875" style="118" customWidth="1"/>
    <col min="13304" max="13304" width="11.5703125" style="118" customWidth="1"/>
    <col min="13305" max="13305" width="11.140625" style="118" bestFit="1" customWidth="1"/>
    <col min="13306" max="13306" width="11" style="118" customWidth="1"/>
    <col min="13307" max="13307" width="10.42578125" style="118" customWidth="1"/>
    <col min="13308" max="13308" width="11.28515625" style="118" customWidth="1"/>
    <col min="13309" max="13310" width="9.140625" style="118" bestFit="1" customWidth="1"/>
    <col min="13311" max="13312" width="11.140625" style="118" bestFit="1" customWidth="1"/>
    <col min="13313" max="13313" width="11.5703125" style="118" bestFit="1" customWidth="1"/>
    <col min="13314" max="13314" width="9.140625" style="118" bestFit="1" customWidth="1"/>
    <col min="13315" max="13315" width="10.28515625" style="118" customWidth="1"/>
    <col min="13316" max="13554" width="9.140625" style="118"/>
    <col min="13555" max="13555" width="4.28515625" style="118" bestFit="1" customWidth="1"/>
    <col min="13556" max="13556" width="6.85546875" style="118" bestFit="1" customWidth="1"/>
    <col min="13557" max="13557" width="11" style="118" customWidth="1"/>
    <col min="13558" max="13558" width="11.140625" style="118" bestFit="1" customWidth="1"/>
    <col min="13559" max="13559" width="10.85546875" style="118" customWidth="1"/>
    <col min="13560" max="13560" width="11.5703125" style="118" customWidth="1"/>
    <col min="13561" max="13561" width="11.140625" style="118" bestFit="1" customWidth="1"/>
    <col min="13562" max="13562" width="11" style="118" customWidth="1"/>
    <col min="13563" max="13563" width="10.42578125" style="118" customWidth="1"/>
    <col min="13564" max="13564" width="11.28515625" style="118" customWidth="1"/>
    <col min="13565" max="13566" width="9.140625" style="118" bestFit="1" customWidth="1"/>
    <col min="13567" max="13568" width="11.140625" style="118" bestFit="1" customWidth="1"/>
    <col min="13569" max="13569" width="11.5703125" style="118" bestFit="1" customWidth="1"/>
    <col min="13570" max="13570" width="9.140625" style="118" bestFit="1" customWidth="1"/>
    <col min="13571" max="13571" width="10.28515625" style="118" customWidth="1"/>
    <col min="13572" max="13810" width="9.140625" style="118"/>
    <col min="13811" max="13811" width="4.28515625" style="118" bestFit="1" customWidth="1"/>
    <col min="13812" max="13812" width="6.85546875" style="118" bestFit="1" customWidth="1"/>
    <col min="13813" max="13813" width="11" style="118" customWidth="1"/>
    <col min="13814" max="13814" width="11.140625" style="118" bestFit="1" customWidth="1"/>
    <col min="13815" max="13815" width="10.85546875" style="118" customWidth="1"/>
    <col min="13816" max="13816" width="11.5703125" style="118" customWidth="1"/>
    <col min="13817" max="13817" width="11.140625" style="118" bestFit="1" customWidth="1"/>
    <col min="13818" max="13818" width="11" style="118" customWidth="1"/>
    <col min="13819" max="13819" width="10.42578125" style="118" customWidth="1"/>
    <col min="13820" max="13820" width="11.28515625" style="118" customWidth="1"/>
    <col min="13821" max="13822" width="9.140625" style="118" bestFit="1" customWidth="1"/>
    <col min="13823" max="13824" width="11.140625" style="118" bestFit="1" customWidth="1"/>
    <col min="13825" max="13825" width="11.5703125" style="118" bestFit="1" customWidth="1"/>
    <col min="13826" max="13826" width="9.140625" style="118" bestFit="1" customWidth="1"/>
    <col min="13827" max="13827" width="10.28515625" style="118" customWidth="1"/>
    <col min="13828" max="14066" width="9.140625" style="118"/>
    <col min="14067" max="14067" width="4.28515625" style="118" bestFit="1" customWidth="1"/>
    <col min="14068" max="14068" width="6.85546875" style="118" bestFit="1" customWidth="1"/>
    <col min="14069" max="14069" width="11" style="118" customWidth="1"/>
    <col min="14070" max="14070" width="11.140625" style="118" bestFit="1" customWidth="1"/>
    <col min="14071" max="14071" width="10.85546875" style="118" customWidth="1"/>
    <col min="14072" max="14072" width="11.5703125" style="118" customWidth="1"/>
    <col min="14073" max="14073" width="11.140625" style="118" bestFit="1" customWidth="1"/>
    <col min="14074" max="14074" width="11" style="118" customWidth="1"/>
    <col min="14075" max="14075" width="10.42578125" style="118" customWidth="1"/>
    <col min="14076" max="14076" width="11.28515625" style="118" customWidth="1"/>
    <col min="14077" max="14078" width="9.140625" style="118" bestFit="1" customWidth="1"/>
    <col min="14079" max="14080" width="11.140625" style="118" bestFit="1" customWidth="1"/>
    <col min="14081" max="14081" width="11.5703125" style="118" bestFit="1" customWidth="1"/>
    <col min="14082" max="14082" width="9.140625" style="118" bestFit="1" customWidth="1"/>
    <col min="14083" max="14083" width="10.28515625" style="118" customWidth="1"/>
    <col min="14084" max="14322" width="9.140625" style="118"/>
    <col min="14323" max="14323" width="4.28515625" style="118" bestFit="1" customWidth="1"/>
    <col min="14324" max="14324" width="6.85546875" style="118" bestFit="1" customWidth="1"/>
    <col min="14325" max="14325" width="11" style="118" customWidth="1"/>
    <col min="14326" max="14326" width="11.140625" style="118" bestFit="1" customWidth="1"/>
    <col min="14327" max="14327" width="10.85546875" style="118" customWidth="1"/>
    <col min="14328" max="14328" width="11.5703125" style="118" customWidth="1"/>
    <col min="14329" max="14329" width="11.140625" style="118" bestFit="1" customWidth="1"/>
    <col min="14330" max="14330" width="11" style="118" customWidth="1"/>
    <col min="14331" max="14331" width="10.42578125" style="118" customWidth="1"/>
    <col min="14332" max="14332" width="11.28515625" style="118" customWidth="1"/>
    <col min="14333" max="14334" width="9.140625" style="118" bestFit="1" customWidth="1"/>
    <col min="14335" max="14336" width="11.140625" style="118" bestFit="1" customWidth="1"/>
    <col min="14337" max="14337" width="11.5703125" style="118" bestFit="1" customWidth="1"/>
    <col min="14338" max="14338" width="9.140625" style="118" bestFit="1" customWidth="1"/>
    <col min="14339" max="14339" width="10.28515625" style="118" customWidth="1"/>
    <col min="14340" max="14578" width="9.140625" style="118"/>
    <col min="14579" max="14579" width="4.28515625" style="118" bestFit="1" customWidth="1"/>
    <col min="14580" max="14580" width="6.85546875" style="118" bestFit="1" customWidth="1"/>
    <col min="14581" max="14581" width="11" style="118" customWidth="1"/>
    <col min="14582" max="14582" width="11.140625" style="118" bestFit="1" customWidth="1"/>
    <col min="14583" max="14583" width="10.85546875" style="118" customWidth="1"/>
    <col min="14584" max="14584" width="11.5703125" style="118" customWidth="1"/>
    <col min="14585" max="14585" width="11.140625" style="118" bestFit="1" customWidth="1"/>
    <col min="14586" max="14586" width="11" style="118" customWidth="1"/>
    <col min="14587" max="14587" width="10.42578125" style="118" customWidth="1"/>
    <col min="14588" max="14588" width="11.28515625" style="118" customWidth="1"/>
    <col min="14589" max="14590" width="9.140625" style="118" bestFit="1" customWidth="1"/>
    <col min="14591" max="14592" width="11.140625" style="118" bestFit="1" customWidth="1"/>
    <col min="14593" max="14593" width="11.5703125" style="118" bestFit="1" customWidth="1"/>
    <col min="14594" max="14594" width="9.140625" style="118" bestFit="1" customWidth="1"/>
    <col min="14595" max="14595" width="10.28515625" style="118" customWidth="1"/>
    <col min="14596" max="14834" width="9.140625" style="118"/>
    <col min="14835" max="14835" width="4.28515625" style="118" bestFit="1" customWidth="1"/>
    <col min="14836" max="14836" width="6.85546875" style="118" bestFit="1" customWidth="1"/>
    <col min="14837" max="14837" width="11" style="118" customWidth="1"/>
    <col min="14838" max="14838" width="11.140625" style="118" bestFit="1" customWidth="1"/>
    <col min="14839" max="14839" width="10.85546875" style="118" customWidth="1"/>
    <col min="14840" max="14840" width="11.5703125" style="118" customWidth="1"/>
    <col min="14841" max="14841" width="11.140625" style="118" bestFit="1" customWidth="1"/>
    <col min="14842" max="14842" width="11" style="118" customWidth="1"/>
    <col min="14843" max="14843" width="10.42578125" style="118" customWidth="1"/>
    <col min="14844" max="14844" width="11.28515625" style="118" customWidth="1"/>
    <col min="14845" max="14846" width="9.140625" style="118" bestFit="1" customWidth="1"/>
    <col min="14847" max="14848" width="11.140625" style="118" bestFit="1" customWidth="1"/>
    <col min="14849" max="14849" width="11.5703125" style="118" bestFit="1" customWidth="1"/>
    <col min="14850" max="14850" width="9.140625" style="118" bestFit="1" customWidth="1"/>
    <col min="14851" max="14851" width="10.28515625" style="118" customWidth="1"/>
    <col min="14852" max="15090" width="9.140625" style="118"/>
    <col min="15091" max="15091" width="4.28515625" style="118" bestFit="1" customWidth="1"/>
    <col min="15092" max="15092" width="6.85546875" style="118" bestFit="1" customWidth="1"/>
    <col min="15093" max="15093" width="11" style="118" customWidth="1"/>
    <col min="15094" max="15094" width="11.140625" style="118" bestFit="1" customWidth="1"/>
    <col min="15095" max="15095" width="10.85546875" style="118" customWidth="1"/>
    <col min="15096" max="15096" width="11.5703125" style="118" customWidth="1"/>
    <col min="15097" max="15097" width="11.140625" style="118" bestFit="1" customWidth="1"/>
    <col min="15098" max="15098" width="11" style="118" customWidth="1"/>
    <col min="15099" max="15099" width="10.42578125" style="118" customWidth="1"/>
    <col min="15100" max="15100" width="11.28515625" style="118" customWidth="1"/>
    <col min="15101" max="15102" width="9.140625" style="118" bestFit="1" customWidth="1"/>
    <col min="15103" max="15104" width="11.140625" style="118" bestFit="1" customWidth="1"/>
    <col min="15105" max="15105" width="11.5703125" style="118" bestFit="1" customWidth="1"/>
    <col min="15106" max="15106" width="9.140625" style="118" bestFit="1" customWidth="1"/>
    <col min="15107" max="15107" width="10.28515625" style="118" customWidth="1"/>
    <col min="15108" max="15346" width="9.140625" style="118"/>
    <col min="15347" max="15347" width="4.28515625" style="118" bestFit="1" customWidth="1"/>
    <col min="15348" max="15348" width="6.85546875" style="118" bestFit="1" customWidth="1"/>
    <col min="15349" max="15349" width="11" style="118" customWidth="1"/>
    <col min="15350" max="15350" width="11.140625" style="118" bestFit="1" customWidth="1"/>
    <col min="15351" max="15351" width="10.85546875" style="118" customWidth="1"/>
    <col min="15352" max="15352" width="11.5703125" style="118" customWidth="1"/>
    <col min="15353" max="15353" width="11.140625" style="118" bestFit="1" customWidth="1"/>
    <col min="15354" max="15354" width="11" style="118" customWidth="1"/>
    <col min="15355" max="15355" width="10.42578125" style="118" customWidth="1"/>
    <col min="15356" max="15356" width="11.28515625" style="118" customWidth="1"/>
    <col min="15357" max="15358" width="9.140625" style="118" bestFit="1" customWidth="1"/>
    <col min="15359" max="15360" width="11.140625" style="118" bestFit="1" customWidth="1"/>
    <col min="15361" max="15361" width="11.5703125" style="118" bestFit="1" customWidth="1"/>
    <col min="15362" max="15362" width="9.140625" style="118" bestFit="1" customWidth="1"/>
    <col min="15363" max="15363" width="10.28515625" style="118" customWidth="1"/>
    <col min="15364" max="15602" width="9.140625" style="118"/>
    <col min="15603" max="15603" width="4.28515625" style="118" bestFit="1" customWidth="1"/>
    <col min="15604" max="15604" width="6.85546875" style="118" bestFit="1" customWidth="1"/>
    <col min="15605" max="15605" width="11" style="118" customWidth="1"/>
    <col min="15606" max="15606" width="11.140625" style="118" bestFit="1" customWidth="1"/>
    <col min="15607" max="15607" width="10.85546875" style="118" customWidth="1"/>
    <col min="15608" max="15608" width="11.5703125" style="118" customWidth="1"/>
    <col min="15609" max="15609" width="11.140625" style="118" bestFit="1" customWidth="1"/>
    <col min="15610" max="15610" width="11" style="118" customWidth="1"/>
    <col min="15611" max="15611" width="10.42578125" style="118" customWidth="1"/>
    <col min="15612" max="15612" width="11.28515625" style="118" customWidth="1"/>
    <col min="15613" max="15614" width="9.140625" style="118" bestFit="1" customWidth="1"/>
    <col min="15615" max="15616" width="11.140625" style="118" bestFit="1" customWidth="1"/>
    <col min="15617" max="15617" width="11.5703125" style="118" bestFit="1" customWidth="1"/>
    <col min="15618" max="15618" width="9.140625" style="118" bestFit="1" customWidth="1"/>
    <col min="15619" max="15619" width="10.28515625" style="118" customWidth="1"/>
    <col min="15620" max="15858" width="9.140625" style="118"/>
    <col min="15859" max="15859" width="4.28515625" style="118" bestFit="1" customWidth="1"/>
    <col min="15860" max="15860" width="6.85546875" style="118" bestFit="1" customWidth="1"/>
    <col min="15861" max="15861" width="11" style="118" customWidth="1"/>
    <col min="15862" max="15862" width="11.140625" style="118" bestFit="1" customWidth="1"/>
    <col min="15863" max="15863" width="10.85546875" style="118" customWidth="1"/>
    <col min="15864" max="15864" width="11.5703125" style="118" customWidth="1"/>
    <col min="15865" max="15865" width="11.140625" style="118" bestFit="1" customWidth="1"/>
    <col min="15866" max="15866" width="11" style="118" customWidth="1"/>
    <col min="15867" max="15867" width="10.42578125" style="118" customWidth="1"/>
    <col min="15868" max="15868" width="11.28515625" style="118" customWidth="1"/>
    <col min="15869" max="15870" width="9.140625" style="118" bestFit="1" customWidth="1"/>
    <col min="15871" max="15872" width="11.140625" style="118" bestFit="1" customWidth="1"/>
    <col min="15873" max="15873" width="11.5703125" style="118" bestFit="1" customWidth="1"/>
    <col min="15874" max="15874" width="9.140625" style="118" bestFit="1" customWidth="1"/>
    <col min="15875" max="15875" width="10.28515625" style="118" customWidth="1"/>
    <col min="15876" max="16114" width="9.140625" style="118"/>
    <col min="16115" max="16115" width="4.28515625" style="118" bestFit="1" customWidth="1"/>
    <col min="16116" max="16116" width="6.85546875" style="118" bestFit="1" customWidth="1"/>
    <col min="16117" max="16117" width="11" style="118" customWidth="1"/>
    <col min="16118" max="16118" width="11.140625" style="118" bestFit="1" customWidth="1"/>
    <col min="16119" max="16119" width="10.85546875" style="118" customWidth="1"/>
    <col min="16120" max="16120" width="11.5703125" style="118" customWidth="1"/>
    <col min="16121" max="16121" width="11.140625" style="118" bestFit="1" customWidth="1"/>
    <col min="16122" max="16122" width="11" style="118" customWidth="1"/>
    <col min="16123" max="16123" width="10.42578125" style="118" customWidth="1"/>
    <col min="16124" max="16124" width="11.28515625" style="118" customWidth="1"/>
    <col min="16125" max="16126" width="9.140625" style="118" bestFit="1" customWidth="1"/>
    <col min="16127" max="16128" width="11.140625" style="118" bestFit="1" customWidth="1"/>
    <col min="16129" max="16129" width="11.5703125" style="118" bestFit="1" customWidth="1"/>
    <col min="16130" max="16130" width="9.140625" style="118" bestFit="1" customWidth="1"/>
    <col min="16131" max="16131" width="10.28515625" style="118" customWidth="1"/>
    <col min="16132" max="16384" width="9.140625" style="118"/>
  </cols>
  <sheetData>
    <row r="1" spans="1:12" ht="39.950000000000003" customHeight="1">
      <c r="A1" s="318"/>
      <c r="B1" s="318"/>
      <c r="C1" s="318"/>
      <c r="D1" s="318"/>
      <c r="E1" s="318"/>
      <c r="F1" s="318"/>
      <c r="G1" s="318"/>
      <c r="H1" s="3895" t="s">
        <v>1450</v>
      </c>
      <c r="I1" s="3895"/>
      <c r="J1" s="3895"/>
    </row>
    <row r="2" spans="1:12" ht="65.099999999999994" customHeight="1">
      <c r="A2" s="3896" t="s">
        <v>1291</v>
      </c>
      <c r="B2" s="3896"/>
      <c r="C2" s="3896"/>
      <c r="D2" s="3896"/>
      <c r="E2" s="3896"/>
      <c r="F2" s="3896"/>
      <c r="G2" s="3896"/>
      <c r="H2" s="3896"/>
      <c r="I2" s="3896"/>
      <c r="J2" s="3896"/>
    </row>
    <row r="3" spans="1:12" ht="12" customHeight="1">
      <c r="A3" s="2851"/>
      <c r="B3" s="2851"/>
      <c r="C3" s="2851"/>
      <c r="D3" s="2851"/>
      <c r="E3" s="2851"/>
      <c r="F3" s="2851"/>
      <c r="G3" s="2851"/>
      <c r="H3" s="2851"/>
      <c r="I3" s="2851"/>
      <c r="J3" s="2851"/>
    </row>
    <row r="4" spans="1:12" ht="12" customHeight="1" thickBot="1">
      <c r="A4" s="3897" t="s">
        <v>5</v>
      </c>
      <c r="B4" s="3897"/>
      <c r="C4" s="3897"/>
      <c r="D4" s="3897"/>
      <c r="E4" s="3897"/>
      <c r="F4" s="3897"/>
      <c r="G4" s="3897"/>
      <c r="H4" s="3897"/>
      <c r="I4" s="3897"/>
      <c r="J4" s="3897"/>
    </row>
    <row r="5" spans="1:12" ht="17.25" customHeight="1">
      <c r="A5" s="3898" t="s">
        <v>84</v>
      </c>
      <c r="B5" s="3900" t="s">
        <v>1292</v>
      </c>
      <c r="C5" s="3902" t="s">
        <v>0</v>
      </c>
      <c r="D5" s="3903" t="s">
        <v>30</v>
      </c>
      <c r="E5" s="3905" t="s">
        <v>2</v>
      </c>
      <c r="F5" s="3906" t="s">
        <v>1293</v>
      </c>
      <c r="G5" s="3908" t="s">
        <v>1</v>
      </c>
      <c r="H5" s="3908"/>
      <c r="I5" s="3908"/>
      <c r="J5" s="3909"/>
    </row>
    <row r="6" spans="1:12" ht="22.5">
      <c r="A6" s="3899"/>
      <c r="B6" s="3901"/>
      <c r="C6" s="3901"/>
      <c r="D6" s="3904"/>
      <c r="E6" s="3904"/>
      <c r="F6" s="3907"/>
      <c r="G6" s="2852" t="s">
        <v>1294</v>
      </c>
      <c r="H6" s="2852" t="s">
        <v>1295</v>
      </c>
      <c r="I6" s="2852" t="s">
        <v>1296</v>
      </c>
      <c r="J6" s="2853" t="s">
        <v>1297</v>
      </c>
    </row>
    <row r="7" spans="1:12" ht="9.9499999999999993" customHeight="1">
      <c r="A7" s="2854" t="s">
        <v>327</v>
      </c>
      <c r="B7" s="2855" t="s">
        <v>328</v>
      </c>
      <c r="C7" s="2855" t="s">
        <v>329</v>
      </c>
      <c r="D7" s="2855" t="s">
        <v>330</v>
      </c>
      <c r="E7" s="2855" t="s">
        <v>331</v>
      </c>
      <c r="F7" s="2856" t="s">
        <v>1298</v>
      </c>
      <c r="G7" s="2856" t="s">
        <v>332</v>
      </c>
      <c r="H7" s="2856" t="s">
        <v>333</v>
      </c>
      <c r="I7" s="2856" t="s">
        <v>334</v>
      </c>
      <c r="J7" s="2857" t="s">
        <v>1299</v>
      </c>
    </row>
    <row r="8" spans="1:12" s="204" customFormat="1" ht="24.95" customHeight="1">
      <c r="A8" s="2858" t="s">
        <v>1300</v>
      </c>
      <c r="B8" s="3930" t="s">
        <v>1301</v>
      </c>
      <c r="C8" s="3930"/>
      <c r="D8" s="3930"/>
      <c r="E8" s="3930"/>
      <c r="F8" s="2859">
        <f>F10+F24+F32+F49+F63+F81+F132+F145+F164+F178+F190+F202+F222+F236+F313+F338+F363+F374+F417+F465+F496+F521+F544+F567+F617+F636+F657+F689+F711+F749+F777</f>
        <v>226109276</v>
      </c>
      <c r="G8" s="2859">
        <f>G10+G24+G32+G49+G63+G81+G132+G145+G164+G178+G190+G202+G222+G236+G313+G338+G363+G374+G417+G465+G496+G521+G544+G567+G617+G636+G657+G689+G711+G749+G777</f>
        <v>76574377</v>
      </c>
      <c r="H8" s="2859">
        <f>H10+H24+H32+H49+H63+H81+H132+H145+H164+H178+H190+H202+H222+H236+H313+H338+H363+H374+H417+H465+H496+H521+H544+H567+H617+H636+H657+H689+H711+H749+H777</f>
        <v>74863045</v>
      </c>
      <c r="I8" s="2859">
        <f>I10+I24+I32+I49+I63+I81+I132+I145+I164+I178+I190+I202+I222+I236+I313+I338+I363+I374+I417+I465+I496+I521+I544+I567+I617+I636+I657+I689+I711+I749+I777</f>
        <v>74671854</v>
      </c>
      <c r="J8" s="2860">
        <f>J10+J24+J32+J49+J63+J81+J132+J145+J164+J178+J190+J202+J222+J236+J313+J338+J363+J374+J417+J465+J496+J521+J544+J567+J617+J636+J657+J689+J711+J749+J777</f>
        <v>0</v>
      </c>
    </row>
    <row r="9" spans="1:12" s="243" customFormat="1">
      <c r="A9" s="3931"/>
      <c r="B9" s="3932"/>
      <c r="C9" s="3932"/>
      <c r="D9" s="3932"/>
      <c r="E9" s="3932"/>
      <c r="F9" s="3932"/>
      <c r="G9" s="3932"/>
      <c r="H9" s="3932"/>
      <c r="I9" s="3932"/>
      <c r="J9" s="3933"/>
    </row>
    <row r="10" spans="1:12" s="2864" customFormat="1" ht="22.5">
      <c r="A10" s="3934" t="s">
        <v>1302</v>
      </c>
      <c r="B10" s="3935" t="s">
        <v>1303</v>
      </c>
      <c r="C10" s="3936"/>
      <c r="D10" s="3936"/>
      <c r="E10" s="2861" t="s">
        <v>1304</v>
      </c>
      <c r="F10" s="2862">
        <f>SUM(F11,F15)</f>
        <v>2924466</v>
      </c>
      <c r="G10" s="2862">
        <f>SUM(G11,G15)</f>
        <v>0</v>
      </c>
      <c r="H10" s="2862">
        <f>SUM(H11,H15)</f>
        <v>0</v>
      </c>
      <c r="I10" s="2862">
        <f>SUM(I11,I15)</f>
        <v>2924466</v>
      </c>
      <c r="J10" s="2863">
        <f>SUM(J11,J15)</f>
        <v>0</v>
      </c>
      <c r="L10" s="2865"/>
    </row>
    <row r="11" spans="1:12" s="2864" customFormat="1" ht="15" customHeight="1">
      <c r="A11" s="3934"/>
      <c r="B11" s="3935"/>
      <c r="C11" s="3936"/>
      <c r="D11" s="3936"/>
      <c r="E11" s="2866" t="s">
        <v>1017</v>
      </c>
      <c r="F11" s="2867">
        <f>SUM(F12:F14)</f>
        <v>0</v>
      </c>
      <c r="G11" s="2867">
        <f>SUM(G12:G14)</f>
        <v>0</v>
      </c>
      <c r="H11" s="2867">
        <f>SUM(H12:H14)</f>
        <v>0</v>
      </c>
      <c r="I11" s="2867">
        <f>SUM(I12:I14)</f>
        <v>0</v>
      </c>
      <c r="J11" s="2868">
        <f>SUM(J12:J14)</f>
        <v>0</v>
      </c>
    </row>
    <row r="12" spans="1:12" s="2864" customFormat="1" ht="15" hidden="1" customHeight="1">
      <c r="A12" s="3934"/>
      <c r="B12" s="3935"/>
      <c r="C12" s="3936"/>
      <c r="D12" s="3936"/>
      <c r="E12" s="2869"/>
      <c r="F12" s="2870">
        <f>SUM(G12:J12)</f>
        <v>0</v>
      </c>
      <c r="G12" s="2870"/>
      <c r="H12" s="2870"/>
      <c r="I12" s="2870"/>
      <c r="J12" s="2871"/>
    </row>
    <row r="13" spans="1:12" s="2864" customFormat="1" ht="15" hidden="1" customHeight="1">
      <c r="A13" s="3934"/>
      <c r="B13" s="3935"/>
      <c r="C13" s="3936"/>
      <c r="D13" s="3936"/>
      <c r="E13" s="2869"/>
      <c r="F13" s="2870">
        <f>SUM(G13:J13)</f>
        <v>0</v>
      </c>
      <c r="G13" s="2870"/>
      <c r="H13" s="2870"/>
      <c r="I13" s="2870"/>
      <c r="J13" s="2871"/>
    </row>
    <row r="14" spans="1:12" s="2864" customFormat="1" ht="15" hidden="1" customHeight="1">
      <c r="A14" s="3934"/>
      <c r="B14" s="3935"/>
      <c r="C14" s="3936"/>
      <c r="D14" s="3936"/>
      <c r="E14" s="2869"/>
      <c r="F14" s="2870">
        <f>SUM(G14:J14)</f>
        <v>0</v>
      </c>
      <c r="G14" s="2870"/>
      <c r="H14" s="2870"/>
      <c r="I14" s="2870"/>
      <c r="J14" s="2871"/>
    </row>
    <row r="15" spans="1:12" s="2864" customFormat="1" ht="15" customHeight="1">
      <c r="A15" s="3934"/>
      <c r="B15" s="3935"/>
      <c r="C15" s="3936"/>
      <c r="D15" s="3936"/>
      <c r="E15" s="2872" t="s">
        <v>1305</v>
      </c>
      <c r="F15" s="2867">
        <f>SUM(F16:F23)</f>
        <v>2924466</v>
      </c>
      <c r="G15" s="2867">
        <f>SUM(G16:G23)</f>
        <v>0</v>
      </c>
      <c r="H15" s="2867">
        <f>SUM(H16:H23)</f>
        <v>0</v>
      </c>
      <c r="I15" s="2867">
        <f>SUM(I16:I23)</f>
        <v>2924466</v>
      </c>
      <c r="J15" s="2868">
        <f>SUM(J16:J23)</f>
        <v>0</v>
      </c>
    </row>
    <row r="16" spans="1:12" s="2864" customFormat="1" ht="15" hidden="1" customHeight="1">
      <c r="A16" s="3934"/>
      <c r="B16" s="3935"/>
      <c r="C16" s="2873">
        <v>630</v>
      </c>
      <c r="D16" s="2874">
        <v>63095</v>
      </c>
      <c r="E16" s="2869" t="s">
        <v>901</v>
      </c>
      <c r="F16" s="2870">
        <f>SUM(G16:J16)</f>
        <v>0</v>
      </c>
      <c r="G16" s="2870"/>
      <c r="H16" s="2870"/>
      <c r="I16" s="2870"/>
      <c r="J16" s="2871"/>
    </row>
    <row r="17" spans="1:19" s="2864" customFormat="1" ht="15" customHeight="1">
      <c r="A17" s="3934"/>
      <c r="B17" s="3935"/>
      <c r="C17" s="3924">
        <v>700</v>
      </c>
      <c r="D17" s="2874" t="s">
        <v>977</v>
      </c>
      <c r="E17" s="2869" t="s">
        <v>901</v>
      </c>
      <c r="F17" s="2870">
        <f>SUM(G17:J17)</f>
        <v>205036</v>
      </c>
      <c r="G17" s="2870"/>
      <c r="H17" s="2870"/>
      <c r="I17" s="2870">
        <v>205036</v>
      </c>
      <c r="J17" s="2871"/>
    </row>
    <row r="18" spans="1:19" s="2864" customFormat="1" ht="15" hidden="1" customHeight="1">
      <c r="A18" s="3934"/>
      <c r="B18" s="3935"/>
      <c r="C18" s="3926"/>
      <c r="D18" s="2874" t="s">
        <v>979</v>
      </c>
      <c r="E18" s="2869" t="s">
        <v>901</v>
      </c>
      <c r="F18" s="2870">
        <f t="shared" ref="F18:F23" si="0">SUM(G18:J18)</f>
        <v>0</v>
      </c>
      <c r="G18" s="2870"/>
      <c r="H18" s="2870"/>
      <c r="I18" s="2870"/>
      <c r="J18" s="2871"/>
    </row>
    <row r="19" spans="1:19" s="2864" customFormat="1" ht="15" customHeight="1">
      <c r="A19" s="3934"/>
      <c r="B19" s="3935"/>
      <c r="C19" s="2873">
        <v>750</v>
      </c>
      <c r="D19" s="2874">
        <v>75095</v>
      </c>
      <c r="E19" s="2869" t="s">
        <v>901</v>
      </c>
      <c r="F19" s="2870">
        <f t="shared" si="0"/>
        <v>1059598</v>
      </c>
      <c r="G19" s="2870"/>
      <c r="H19" s="2870"/>
      <c r="I19" s="2870">
        <v>1059598</v>
      </c>
      <c r="J19" s="2871"/>
    </row>
    <row r="20" spans="1:19" s="2864" customFormat="1" ht="15" hidden="1" customHeight="1">
      <c r="A20" s="3934"/>
      <c r="B20" s="3935"/>
      <c r="C20" s="2874">
        <v>900</v>
      </c>
      <c r="D20" s="2874">
        <v>90095</v>
      </c>
      <c r="E20" s="2869" t="s">
        <v>900</v>
      </c>
      <c r="F20" s="2870">
        <f t="shared" si="0"/>
        <v>0</v>
      </c>
      <c r="G20" s="2870"/>
      <c r="H20" s="2870"/>
      <c r="I20" s="2870"/>
      <c r="J20" s="2871"/>
    </row>
    <row r="21" spans="1:19" s="2864" customFormat="1" ht="15" customHeight="1">
      <c r="A21" s="3934"/>
      <c r="B21" s="3935"/>
      <c r="C21" s="3936">
        <v>921</v>
      </c>
      <c r="D21" s="2875">
        <v>92109</v>
      </c>
      <c r="E21" s="2869" t="s">
        <v>901</v>
      </c>
      <c r="F21" s="2870">
        <f t="shared" si="0"/>
        <v>173981</v>
      </c>
      <c r="G21" s="2870"/>
      <c r="H21" s="2870"/>
      <c r="I21" s="2870">
        <v>173981</v>
      </c>
      <c r="J21" s="2871"/>
    </row>
    <row r="22" spans="1:19" s="2864" customFormat="1" ht="15" hidden="1" customHeight="1">
      <c r="A22" s="3934"/>
      <c r="B22" s="3935"/>
      <c r="C22" s="3936"/>
      <c r="D22" s="2874">
        <v>92120</v>
      </c>
      <c r="E22" s="2869" t="s">
        <v>901</v>
      </c>
      <c r="F22" s="2870">
        <f t="shared" si="0"/>
        <v>0</v>
      </c>
      <c r="G22" s="2870"/>
      <c r="H22" s="2870"/>
      <c r="I22" s="2870"/>
      <c r="J22" s="2871"/>
    </row>
    <row r="23" spans="1:19" s="2864" customFormat="1" ht="15" customHeight="1">
      <c r="A23" s="3934"/>
      <c r="B23" s="3935"/>
      <c r="C23" s="3936"/>
      <c r="D23" s="2874">
        <v>92195</v>
      </c>
      <c r="E23" s="2869" t="s">
        <v>901</v>
      </c>
      <c r="F23" s="2870">
        <f t="shared" si="0"/>
        <v>1485851</v>
      </c>
      <c r="G23" s="2870"/>
      <c r="H23" s="2870"/>
      <c r="I23" s="2870">
        <v>1485851</v>
      </c>
      <c r="J23" s="2871"/>
    </row>
    <row r="24" spans="1:19" s="2864" customFormat="1" ht="22.5">
      <c r="A24" s="3910" t="s">
        <v>1306</v>
      </c>
      <c r="B24" s="3912" t="s">
        <v>1307</v>
      </c>
      <c r="C24" s="3914"/>
      <c r="D24" s="3915"/>
      <c r="E24" s="2861" t="s">
        <v>1304</v>
      </c>
      <c r="F24" s="2862">
        <f>SUM(F25,F29)</f>
        <v>6435646</v>
      </c>
      <c r="G24" s="2862">
        <f>SUM(G25,G29)</f>
        <v>0</v>
      </c>
      <c r="H24" s="2862">
        <f>SUM(H25,H29)</f>
        <v>0</v>
      </c>
      <c r="I24" s="2862">
        <f>SUM(I25,I29)</f>
        <v>6435646</v>
      </c>
      <c r="J24" s="2863">
        <f>SUM(J25,J29)</f>
        <v>0</v>
      </c>
    </row>
    <row r="25" spans="1:19" s="2864" customFormat="1" ht="15" customHeight="1">
      <c r="A25" s="3911"/>
      <c r="B25" s="3913"/>
      <c r="C25" s="3916"/>
      <c r="D25" s="3917"/>
      <c r="E25" s="2866" t="s">
        <v>1017</v>
      </c>
      <c r="F25" s="2867">
        <f>SUM(F26:F28)</f>
        <v>0</v>
      </c>
      <c r="G25" s="2867">
        <f>SUM(G26:G28)</f>
        <v>0</v>
      </c>
      <c r="H25" s="2867">
        <f>SUM(H26:H28)</f>
        <v>0</v>
      </c>
      <c r="I25" s="2867">
        <f>SUM(I26:I28)</f>
        <v>0</v>
      </c>
      <c r="J25" s="2868">
        <f>SUM(J26:J28)</f>
        <v>0</v>
      </c>
    </row>
    <row r="26" spans="1:19" s="2864" customFormat="1" ht="15" hidden="1" customHeight="1">
      <c r="A26" s="3911"/>
      <c r="B26" s="3913"/>
      <c r="C26" s="3916"/>
      <c r="D26" s="3917"/>
      <c r="E26" s="2869"/>
      <c r="F26" s="2870">
        <f>SUM(G26:J26)</f>
        <v>0</v>
      </c>
      <c r="G26" s="2870"/>
      <c r="H26" s="2870"/>
      <c r="I26" s="2870"/>
      <c r="J26" s="2871"/>
    </row>
    <row r="27" spans="1:19" s="2864" customFormat="1" ht="15" hidden="1" customHeight="1">
      <c r="A27" s="3911"/>
      <c r="B27" s="3913"/>
      <c r="C27" s="3916"/>
      <c r="D27" s="3917"/>
      <c r="E27" s="2869"/>
      <c r="F27" s="2870">
        <f>SUM(G27:J27)</f>
        <v>0</v>
      </c>
      <c r="G27" s="2870"/>
      <c r="H27" s="2870"/>
      <c r="I27" s="2870"/>
      <c r="J27" s="2871"/>
    </row>
    <row r="28" spans="1:19" s="2864" customFormat="1" ht="15" hidden="1" customHeight="1">
      <c r="A28" s="3911"/>
      <c r="B28" s="3913"/>
      <c r="C28" s="3916"/>
      <c r="D28" s="3917"/>
      <c r="E28" s="2869"/>
      <c r="F28" s="2870">
        <f>SUM(G28:J28)</f>
        <v>0</v>
      </c>
      <c r="G28" s="2870"/>
      <c r="H28" s="2870"/>
      <c r="I28" s="2870"/>
      <c r="J28" s="2871"/>
    </row>
    <row r="29" spans="1:19" s="2864" customFormat="1" ht="15" customHeight="1">
      <c r="A29" s="3911"/>
      <c r="B29" s="3913"/>
      <c r="C29" s="3918"/>
      <c r="D29" s="3919"/>
      <c r="E29" s="2872" t="s">
        <v>1305</v>
      </c>
      <c r="F29" s="2867">
        <f>SUM(F30:F31)</f>
        <v>6435646</v>
      </c>
      <c r="G29" s="2867">
        <f>SUM(G30:G31)</f>
        <v>0</v>
      </c>
      <c r="H29" s="2867">
        <f>SUM(H30:H31)</f>
        <v>0</v>
      </c>
      <c r="I29" s="2867">
        <f>SUM(I30:I31)</f>
        <v>6435646</v>
      </c>
      <c r="J29" s="2868">
        <f>SUM(J30:J31)</f>
        <v>0</v>
      </c>
    </row>
    <row r="30" spans="1:19" s="2864" customFormat="1" ht="15" hidden="1" customHeight="1">
      <c r="A30" s="3911"/>
      <c r="B30" s="3913"/>
      <c r="C30" s="2874">
        <v>150</v>
      </c>
      <c r="D30" s="2869" t="s">
        <v>375</v>
      </c>
      <c r="E30" s="2869" t="s">
        <v>900</v>
      </c>
      <c r="F30" s="2870">
        <f t="shared" ref="F30:F31" si="1">SUM(G30:J30)</f>
        <v>0</v>
      </c>
      <c r="G30" s="2870"/>
      <c r="H30" s="2870"/>
      <c r="I30" s="2870">
        <f>6375309-6375309</f>
        <v>0</v>
      </c>
      <c r="J30" s="2871"/>
    </row>
    <row r="31" spans="1:19" s="2864" customFormat="1" ht="27.95" customHeight="1">
      <c r="A31" s="3911"/>
      <c r="B31" s="3913"/>
      <c r="C31" s="2873">
        <v>851</v>
      </c>
      <c r="D31" s="2876" t="s">
        <v>1151</v>
      </c>
      <c r="E31" s="2869" t="s">
        <v>900</v>
      </c>
      <c r="F31" s="2870">
        <f t="shared" si="1"/>
        <v>6435646</v>
      </c>
      <c r="G31" s="2870"/>
      <c r="H31" s="2870"/>
      <c r="I31" s="2870">
        <v>6435646</v>
      </c>
      <c r="J31" s="2871"/>
    </row>
    <row r="32" spans="1:19" s="2864" customFormat="1" ht="22.5" customHeight="1">
      <c r="A32" s="3910" t="s">
        <v>1308</v>
      </c>
      <c r="B32" s="3921" t="s">
        <v>1309</v>
      </c>
      <c r="C32" s="3924">
        <v>750</v>
      </c>
      <c r="D32" s="3927" t="s">
        <v>1016</v>
      </c>
      <c r="E32" s="2861" t="s">
        <v>1304</v>
      </c>
      <c r="F32" s="2862">
        <f>SUM(F33,F46)</f>
        <v>3000000</v>
      </c>
      <c r="G32" s="2862">
        <f>SUM(G33,G46)</f>
        <v>450000</v>
      </c>
      <c r="H32" s="2862">
        <f>SUM(H33,H46)</f>
        <v>0</v>
      </c>
      <c r="I32" s="2862">
        <f>SUM(I33,I46)</f>
        <v>2550000</v>
      </c>
      <c r="J32" s="2863">
        <f>SUM(J33,J46)</f>
        <v>0</v>
      </c>
      <c r="K32" s="2877"/>
      <c r="L32" s="2877"/>
      <c r="M32" s="2877"/>
      <c r="N32" s="2877"/>
      <c r="O32" s="2877"/>
      <c r="P32" s="2878"/>
      <c r="Q32" s="2865"/>
      <c r="R32" s="2865"/>
      <c r="S32" s="2865"/>
    </row>
    <row r="33" spans="1:16" s="2864" customFormat="1" ht="21">
      <c r="A33" s="3911"/>
      <c r="B33" s="3922"/>
      <c r="C33" s="3925"/>
      <c r="D33" s="3928"/>
      <c r="E33" s="2866" t="s">
        <v>1310</v>
      </c>
      <c r="F33" s="2867">
        <f>SUM(F34,F37)</f>
        <v>3000000</v>
      </c>
      <c r="G33" s="2867">
        <f>SUM(G34,G37)</f>
        <v>450000</v>
      </c>
      <c r="H33" s="2867">
        <f>SUM(H34,H37)</f>
        <v>0</v>
      </c>
      <c r="I33" s="2867">
        <f>SUM(I34,I37)</f>
        <v>2550000</v>
      </c>
      <c r="J33" s="2868">
        <f>SUM(J34,J37)</f>
        <v>0</v>
      </c>
      <c r="K33" s="2878"/>
      <c r="L33" s="2878"/>
      <c r="M33" s="2878"/>
      <c r="N33" s="2878"/>
      <c r="O33" s="2878"/>
      <c r="P33" s="2879"/>
    </row>
    <row r="34" spans="1:16" s="2864" customFormat="1" ht="22.5">
      <c r="A34" s="3911"/>
      <c r="B34" s="3922"/>
      <c r="C34" s="3925"/>
      <c r="D34" s="3928"/>
      <c r="E34" s="2880" t="s">
        <v>1311</v>
      </c>
      <c r="F34" s="2881">
        <f>SUM(F35:F36)</f>
        <v>40000</v>
      </c>
      <c r="G34" s="2881">
        <f>SUM(G35:G36)</f>
        <v>6000</v>
      </c>
      <c r="H34" s="2881">
        <f>SUM(H35:H36)</f>
        <v>0</v>
      </c>
      <c r="I34" s="2881">
        <f>SUM(I35:I36)</f>
        <v>34000</v>
      </c>
      <c r="J34" s="2882">
        <f>SUM(J35:J36)</f>
        <v>0</v>
      </c>
      <c r="K34" s="2878"/>
      <c r="L34" s="2878"/>
      <c r="M34" s="2878"/>
      <c r="N34" s="2878"/>
      <c r="O34" s="2878"/>
      <c r="P34" s="2879"/>
    </row>
    <row r="35" spans="1:16" s="2864" customFormat="1" ht="15" customHeight="1">
      <c r="A35" s="3911"/>
      <c r="B35" s="3922"/>
      <c r="C35" s="3925"/>
      <c r="D35" s="3928"/>
      <c r="E35" s="2869" t="s">
        <v>836</v>
      </c>
      <c r="F35" s="2870">
        <f>SUM(G35:J35)</f>
        <v>34000</v>
      </c>
      <c r="G35" s="2870"/>
      <c r="H35" s="2870"/>
      <c r="I35" s="2870">
        <v>34000</v>
      </c>
      <c r="J35" s="2871"/>
    </row>
    <row r="36" spans="1:16" s="2864" customFormat="1" ht="15" customHeight="1">
      <c r="A36" s="3911"/>
      <c r="B36" s="3922"/>
      <c r="C36" s="3925"/>
      <c r="D36" s="3928"/>
      <c r="E36" s="2869" t="s">
        <v>837</v>
      </c>
      <c r="F36" s="2870">
        <f>SUM(G36:J36)</f>
        <v>6000</v>
      </c>
      <c r="G36" s="2870">
        <v>6000</v>
      </c>
      <c r="H36" s="2870"/>
      <c r="I36" s="2870"/>
      <c r="J36" s="2871"/>
    </row>
    <row r="37" spans="1:16" s="2864" customFormat="1" ht="22.5">
      <c r="A37" s="3911"/>
      <c r="B37" s="3922"/>
      <c r="C37" s="3925"/>
      <c r="D37" s="3928"/>
      <c r="E37" s="2880" t="s">
        <v>1312</v>
      </c>
      <c r="F37" s="2881">
        <f>SUM(F38:F45)</f>
        <v>2960000</v>
      </c>
      <c r="G37" s="2881">
        <f>SUM(G38:G45)</f>
        <v>444000</v>
      </c>
      <c r="H37" s="2881">
        <f>SUM(H38:H45)</f>
        <v>0</v>
      </c>
      <c r="I37" s="2881">
        <f>SUM(I38:I45)</f>
        <v>2516000</v>
      </c>
      <c r="J37" s="2882">
        <f>SUM(J38:J45)</f>
        <v>0</v>
      </c>
    </row>
    <row r="38" spans="1:16" s="2864" customFormat="1" ht="15" customHeight="1">
      <c r="A38" s="3911"/>
      <c r="B38" s="3922"/>
      <c r="C38" s="3925"/>
      <c r="D38" s="3928"/>
      <c r="E38" s="2869" t="s">
        <v>841</v>
      </c>
      <c r="F38" s="2870">
        <f>SUM(G38:J38)</f>
        <v>119000</v>
      </c>
      <c r="G38" s="2870"/>
      <c r="H38" s="2870"/>
      <c r="I38" s="2870">
        <v>119000</v>
      </c>
      <c r="J38" s="2871"/>
    </row>
    <row r="39" spans="1:16" s="2864" customFormat="1" ht="15" customHeight="1">
      <c r="A39" s="3911"/>
      <c r="B39" s="3922"/>
      <c r="C39" s="3925"/>
      <c r="D39" s="3928"/>
      <c r="E39" s="2869" t="s">
        <v>842</v>
      </c>
      <c r="F39" s="2870">
        <f>SUM(G39:J39)</f>
        <v>21000</v>
      </c>
      <c r="G39" s="2870">
        <v>21000</v>
      </c>
      <c r="H39" s="2870"/>
      <c r="I39" s="2870"/>
      <c r="J39" s="2871"/>
    </row>
    <row r="40" spans="1:16" s="2864" customFormat="1" ht="15" customHeight="1">
      <c r="A40" s="3911"/>
      <c r="B40" s="3922"/>
      <c r="C40" s="3925"/>
      <c r="D40" s="3928"/>
      <c r="E40" s="2869" t="s">
        <v>845</v>
      </c>
      <c r="F40" s="2870">
        <f t="shared" ref="F40:F45" si="2">SUM(G40:J40)</f>
        <v>2381000</v>
      </c>
      <c r="G40" s="2870"/>
      <c r="H40" s="2870"/>
      <c r="I40" s="2870">
        <v>2381000</v>
      </c>
      <c r="J40" s="2871"/>
    </row>
    <row r="41" spans="1:16" s="2864" customFormat="1" ht="15" customHeight="1">
      <c r="A41" s="3911"/>
      <c r="B41" s="3922"/>
      <c r="C41" s="3925"/>
      <c r="D41" s="3928"/>
      <c r="E41" s="2869" t="s">
        <v>846</v>
      </c>
      <c r="F41" s="2870">
        <f t="shared" si="2"/>
        <v>420176</v>
      </c>
      <c r="G41" s="2870">
        <v>420176</v>
      </c>
      <c r="H41" s="2870"/>
      <c r="I41" s="2870"/>
      <c r="J41" s="2871"/>
    </row>
    <row r="42" spans="1:16" s="2864" customFormat="1" ht="15" customHeight="1">
      <c r="A42" s="3911"/>
      <c r="B42" s="3922"/>
      <c r="C42" s="3925"/>
      <c r="D42" s="3928"/>
      <c r="E42" s="2869" t="s">
        <v>849</v>
      </c>
      <c r="F42" s="2870">
        <f t="shared" si="2"/>
        <v>8000</v>
      </c>
      <c r="G42" s="2870"/>
      <c r="H42" s="2870"/>
      <c r="I42" s="2870">
        <v>8000</v>
      </c>
      <c r="J42" s="2871"/>
    </row>
    <row r="43" spans="1:16" s="2864" customFormat="1" ht="15" customHeight="1">
      <c r="A43" s="3911"/>
      <c r="B43" s="3922"/>
      <c r="C43" s="3925"/>
      <c r="D43" s="3928"/>
      <c r="E43" s="2869" t="s">
        <v>850</v>
      </c>
      <c r="F43" s="2870">
        <f t="shared" si="2"/>
        <v>1412</v>
      </c>
      <c r="G43" s="2870">
        <v>1412</v>
      </c>
      <c r="H43" s="2870"/>
      <c r="I43" s="2870"/>
      <c r="J43" s="2871"/>
    </row>
    <row r="44" spans="1:16" s="2864" customFormat="1" ht="15" customHeight="1">
      <c r="A44" s="3911"/>
      <c r="B44" s="3922"/>
      <c r="C44" s="3925"/>
      <c r="D44" s="3928"/>
      <c r="E44" s="2869" t="s">
        <v>954</v>
      </c>
      <c r="F44" s="2870">
        <f t="shared" si="2"/>
        <v>8000</v>
      </c>
      <c r="G44" s="2870"/>
      <c r="H44" s="2870"/>
      <c r="I44" s="2870">
        <v>8000</v>
      </c>
      <c r="J44" s="2871"/>
    </row>
    <row r="45" spans="1:16" s="2864" customFormat="1" ht="15" customHeight="1">
      <c r="A45" s="3911"/>
      <c r="B45" s="3922"/>
      <c r="C45" s="3925"/>
      <c r="D45" s="3928"/>
      <c r="E45" s="2869" t="s">
        <v>955</v>
      </c>
      <c r="F45" s="2870">
        <f t="shared" si="2"/>
        <v>1412</v>
      </c>
      <c r="G45" s="2870">
        <v>1412</v>
      </c>
      <c r="H45" s="2870"/>
      <c r="I45" s="2870"/>
      <c r="J45" s="2871"/>
    </row>
    <row r="46" spans="1:16" s="2864" customFormat="1" ht="15" customHeight="1">
      <c r="A46" s="3920"/>
      <c r="B46" s="3923"/>
      <c r="C46" s="3926"/>
      <c r="D46" s="3929"/>
      <c r="E46" s="2872" t="s">
        <v>1305</v>
      </c>
      <c r="F46" s="2867">
        <f>SUM(F47:F48)</f>
        <v>0</v>
      </c>
      <c r="G46" s="2867">
        <f>SUM(G47:G48)</f>
        <v>0</v>
      </c>
      <c r="H46" s="2867">
        <f>SUM(H47:H48)</f>
        <v>0</v>
      </c>
      <c r="I46" s="2867">
        <f>SUM(I47:I48)</f>
        <v>0</v>
      </c>
      <c r="J46" s="2868">
        <f>SUM(J47:J48)</f>
        <v>0</v>
      </c>
    </row>
    <row r="47" spans="1:16" s="2864" customFormat="1" ht="15" hidden="1" customHeight="1">
      <c r="A47" s="2883"/>
      <c r="B47" s="2884"/>
      <c r="C47" s="2885"/>
      <c r="D47" s="2886"/>
      <c r="E47" s="2869" t="s">
        <v>933</v>
      </c>
      <c r="F47" s="2870">
        <f>SUM(G47:J47)</f>
        <v>0</v>
      </c>
      <c r="G47" s="2870"/>
      <c r="H47" s="2870"/>
      <c r="I47" s="2870"/>
      <c r="J47" s="2871"/>
    </row>
    <row r="48" spans="1:16" s="2864" customFormat="1" ht="15" hidden="1" customHeight="1">
      <c r="A48" s="2887"/>
      <c r="B48" s="2888"/>
      <c r="C48" s="2889"/>
      <c r="D48" s="2890"/>
      <c r="E48" s="2874">
        <v>6069</v>
      </c>
      <c r="F48" s="2870">
        <f>SUM(G48:J48)</f>
        <v>0</v>
      </c>
      <c r="G48" s="2870"/>
      <c r="H48" s="2870"/>
      <c r="I48" s="2870"/>
      <c r="J48" s="2871"/>
    </row>
    <row r="49" spans="1:11" s="2864" customFormat="1" ht="22.5">
      <c r="A49" s="3910" t="s">
        <v>1313</v>
      </c>
      <c r="B49" s="3912" t="s">
        <v>1314</v>
      </c>
      <c r="C49" s="3924">
        <v>750</v>
      </c>
      <c r="D49" s="3927" t="s">
        <v>1016</v>
      </c>
      <c r="E49" s="2861" t="s">
        <v>1304</v>
      </c>
      <c r="F49" s="2862">
        <f>SUM(F50,F60)</f>
        <v>23517725</v>
      </c>
      <c r="G49" s="2862">
        <f>SUM(G50,G60)</f>
        <v>3528134</v>
      </c>
      <c r="H49" s="2862">
        <f>SUM(H50,H60)</f>
        <v>0</v>
      </c>
      <c r="I49" s="2862">
        <f>SUM(I50,I60)</f>
        <v>19989591</v>
      </c>
      <c r="J49" s="2863">
        <f>SUM(J50,J60)</f>
        <v>0</v>
      </c>
    </row>
    <row r="50" spans="1:11" s="2864" customFormat="1" ht="21">
      <c r="A50" s="3911"/>
      <c r="B50" s="3913"/>
      <c r="C50" s="3925"/>
      <c r="D50" s="3928"/>
      <c r="E50" s="2866" t="s">
        <v>1310</v>
      </c>
      <c r="F50" s="2867">
        <f>SUM(F51,F55)</f>
        <v>2276750</v>
      </c>
      <c r="G50" s="2867">
        <f>SUM(G51,G55)</f>
        <v>341989</v>
      </c>
      <c r="H50" s="2867">
        <f>SUM(H51,H55)</f>
        <v>0</v>
      </c>
      <c r="I50" s="2867">
        <f>SUM(I51,I55)</f>
        <v>1934761</v>
      </c>
      <c r="J50" s="2868">
        <f>SUM(J51,J55)</f>
        <v>0</v>
      </c>
    </row>
    <row r="51" spans="1:11" s="2864" customFormat="1" ht="22.5">
      <c r="A51" s="3911"/>
      <c r="B51" s="3913"/>
      <c r="C51" s="3925"/>
      <c r="D51" s="3928"/>
      <c r="E51" s="2880" t="s">
        <v>1311</v>
      </c>
      <c r="F51" s="2881">
        <f>SUM(F52:F54)</f>
        <v>48000</v>
      </c>
      <c r="G51" s="2881">
        <f>SUM(G52:G54)</f>
        <v>7200</v>
      </c>
      <c r="H51" s="2881">
        <f>SUM(H52:H54)</f>
        <v>0</v>
      </c>
      <c r="I51" s="2881">
        <f>SUM(I52:I54)</f>
        <v>40800</v>
      </c>
      <c r="J51" s="2882">
        <f>SUM(J52:J54)</f>
        <v>0</v>
      </c>
    </row>
    <row r="52" spans="1:11" s="2864" customFormat="1" ht="15" customHeight="1">
      <c r="A52" s="3911"/>
      <c r="B52" s="3913"/>
      <c r="C52" s="3925"/>
      <c r="D52" s="3928"/>
      <c r="E52" s="2869" t="s">
        <v>836</v>
      </c>
      <c r="F52" s="2870">
        <f>SUM(G52:J52)</f>
        <v>40800</v>
      </c>
      <c r="G52" s="2870"/>
      <c r="H52" s="2870"/>
      <c r="I52" s="2870">
        <v>40800</v>
      </c>
      <c r="J52" s="2871"/>
    </row>
    <row r="53" spans="1:11" s="2864" customFormat="1" ht="15" customHeight="1">
      <c r="A53" s="3911"/>
      <c r="B53" s="3913"/>
      <c r="C53" s="3925"/>
      <c r="D53" s="3928"/>
      <c r="E53" s="2869" t="s">
        <v>837</v>
      </c>
      <c r="F53" s="2870">
        <f>SUM(G53:J53)</f>
        <v>7200</v>
      </c>
      <c r="G53" s="2870">
        <v>7200</v>
      </c>
      <c r="H53" s="2870"/>
      <c r="I53" s="2870"/>
      <c r="J53" s="2871"/>
    </row>
    <row r="54" spans="1:11" s="2864" customFormat="1" ht="15" hidden="1" customHeight="1">
      <c r="A54" s="3911"/>
      <c r="B54" s="3913"/>
      <c r="C54" s="3925"/>
      <c r="D54" s="3928"/>
      <c r="E54" s="2869"/>
      <c r="F54" s="2870">
        <f>SUM(G54:J54)</f>
        <v>0</v>
      </c>
      <c r="G54" s="2870"/>
      <c r="H54" s="2870"/>
      <c r="I54" s="2870"/>
      <c r="J54" s="2871"/>
    </row>
    <row r="55" spans="1:11" s="2864" customFormat="1" ht="22.5">
      <c r="A55" s="3911"/>
      <c r="B55" s="3913"/>
      <c r="C55" s="3925"/>
      <c r="D55" s="3928"/>
      <c r="E55" s="2880" t="s">
        <v>1312</v>
      </c>
      <c r="F55" s="2881">
        <f>SUM(F56:F59)</f>
        <v>2228750</v>
      </c>
      <c r="G55" s="2881">
        <f>SUM(G56:G59)</f>
        <v>334789</v>
      </c>
      <c r="H55" s="2881">
        <f>SUM(H56:H59)</f>
        <v>0</v>
      </c>
      <c r="I55" s="2881">
        <f>SUM(I56:I59)</f>
        <v>1893961</v>
      </c>
      <c r="J55" s="2882">
        <f>SUM(J56:J59)</f>
        <v>0</v>
      </c>
    </row>
    <row r="56" spans="1:11" s="2864" customFormat="1" ht="15" hidden="1" customHeight="1">
      <c r="A56" s="3911"/>
      <c r="B56" s="3913"/>
      <c r="C56" s="3925"/>
      <c r="D56" s="3928"/>
      <c r="E56" s="2869" t="s">
        <v>845</v>
      </c>
      <c r="F56" s="2870">
        <f>SUM(G56:J56)</f>
        <v>0</v>
      </c>
      <c r="G56" s="2870"/>
      <c r="H56" s="2870"/>
      <c r="I56" s="2870"/>
      <c r="J56" s="2871"/>
    </row>
    <row r="57" spans="1:11" s="2864" customFormat="1" ht="15" hidden="1" customHeight="1">
      <c r="A57" s="3911"/>
      <c r="B57" s="3913"/>
      <c r="C57" s="3925"/>
      <c r="D57" s="3928"/>
      <c r="E57" s="2869" t="s">
        <v>846</v>
      </c>
      <c r="F57" s="2870">
        <f>SUM(G57:J57)</f>
        <v>0</v>
      </c>
      <c r="G57" s="2870"/>
      <c r="H57" s="2870"/>
      <c r="I57" s="2870"/>
      <c r="J57" s="2871"/>
    </row>
    <row r="58" spans="1:11" s="2864" customFormat="1" ht="15" customHeight="1">
      <c r="A58" s="3911"/>
      <c r="B58" s="3913"/>
      <c r="C58" s="3925"/>
      <c r="D58" s="3928"/>
      <c r="E58" s="2869" t="s">
        <v>847</v>
      </c>
      <c r="F58" s="2870">
        <f>SUM(G58:J58)</f>
        <v>1893961</v>
      </c>
      <c r="G58" s="2870"/>
      <c r="H58" s="2870"/>
      <c r="I58" s="2870">
        <v>1893961</v>
      </c>
      <c r="J58" s="2871"/>
    </row>
    <row r="59" spans="1:11" s="2864" customFormat="1" ht="15" customHeight="1">
      <c r="A59" s="3911"/>
      <c r="B59" s="3913"/>
      <c r="C59" s="3925"/>
      <c r="D59" s="3929"/>
      <c r="E59" s="2869" t="s">
        <v>848</v>
      </c>
      <c r="F59" s="2870">
        <f>SUM(G59:J59)</f>
        <v>334789</v>
      </c>
      <c r="G59" s="2870">
        <v>334789</v>
      </c>
      <c r="H59" s="2870"/>
      <c r="I59" s="2870"/>
      <c r="J59" s="2871"/>
    </row>
    <row r="60" spans="1:11" s="2864" customFormat="1" ht="15" customHeight="1">
      <c r="A60" s="3911"/>
      <c r="B60" s="3913"/>
      <c r="C60" s="3925"/>
      <c r="D60" s="3927" t="s">
        <v>1043</v>
      </c>
      <c r="E60" s="2872" t="s">
        <v>1305</v>
      </c>
      <c r="F60" s="2867">
        <f>SUM(F61:F62)</f>
        <v>21240975</v>
      </c>
      <c r="G60" s="2867">
        <f t="shared" ref="G60:J60" si="3">SUM(G61:G62)</f>
        <v>3186145</v>
      </c>
      <c r="H60" s="2867">
        <f t="shared" si="3"/>
        <v>0</v>
      </c>
      <c r="I60" s="2867">
        <f t="shared" si="3"/>
        <v>18054830</v>
      </c>
      <c r="J60" s="2868">
        <f t="shared" si="3"/>
        <v>0</v>
      </c>
    </row>
    <row r="61" spans="1:11" s="2864" customFormat="1" ht="15" customHeight="1">
      <c r="A61" s="3911"/>
      <c r="B61" s="3913"/>
      <c r="C61" s="3925"/>
      <c r="D61" s="3928"/>
      <c r="E61" s="2869" t="s">
        <v>932</v>
      </c>
      <c r="F61" s="2870">
        <f>SUM(G61:J61)</f>
        <v>18054830</v>
      </c>
      <c r="G61" s="2870"/>
      <c r="H61" s="2870"/>
      <c r="I61" s="2870">
        <v>18054830</v>
      </c>
      <c r="J61" s="2871"/>
    </row>
    <row r="62" spans="1:11" s="2864" customFormat="1" ht="15" customHeight="1">
      <c r="A62" s="3920"/>
      <c r="B62" s="3937"/>
      <c r="C62" s="3926"/>
      <c r="D62" s="3929"/>
      <c r="E62" s="2869" t="s">
        <v>921</v>
      </c>
      <c r="F62" s="2870">
        <f>SUM(G62:J62)</f>
        <v>3186145</v>
      </c>
      <c r="G62" s="2870">
        <v>3186145</v>
      </c>
      <c r="H62" s="2870"/>
      <c r="I62" s="2870"/>
      <c r="J62" s="2871"/>
    </row>
    <row r="63" spans="1:11" s="2864" customFormat="1" ht="22.5">
      <c r="A63" s="3934" t="s">
        <v>1315</v>
      </c>
      <c r="B63" s="3938" t="s">
        <v>1316</v>
      </c>
      <c r="C63" s="3936">
        <v>750</v>
      </c>
      <c r="D63" s="3939" t="s">
        <v>1016</v>
      </c>
      <c r="E63" s="2861" t="s">
        <v>1304</v>
      </c>
      <c r="F63" s="2862">
        <f>SUM(F64,F79)</f>
        <v>33923000</v>
      </c>
      <c r="G63" s="2862">
        <f>SUM(G64,G79)</f>
        <v>5088450</v>
      </c>
      <c r="H63" s="2862">
        <f>SUM(H64,H79)</f>
        <v>0</v>
      </c>
      <c r="I63" s="2862">
        <f>SUM(I64,I79)</f>
        <v>28834550</v>
      </c>
      <c r="J63" s="2863">
        <f>SUM(J64,J79)</f>
        <v>0</v>
      </c>
      <c r="K63" s="2865"/>
    </row>
    <row r="64" spans="1:11" s="2864" customFormat="1" ht="21">
      <c r="A64" s="3934"/>
      <c r="B64" s="3938"/>
      <c r="C64" s="3936"/>
      <c r="D64" s="3939"/>
      <c r="E64" s="2866" t="s">
        <v>1310</v>
      </c>
      <c r="F64" s="2867">
        <f>SUM(F65,F76)</f>
        <v>33923000</v>
      </c>
      <c r="G64" s="2867">
        <f>SUM(G65,G76)</f>
        <v>5088450</v>
      </c>
      <c r="H64" s="2867">
        <f>SUM(H65,H76)</f>
        <v>0</v>
      </c>
      <c r="I64" s="2867">
        <f>SUM(I65,I76)</f>
        <v>28834550</v>
      </c>
      <c r="J64" s="2868">
        <f>SUM(J65,J76)</f>
        <v>0</v>
      </c>
    </row>
    <row r="65" spans="1:11" s="2864" customFormat="1" ht="22.5">
      <c r="A65" s="3934"/>
      <c r="B65" s="3938"/>
      <c r="C65" s="3936"/>
      <c r="D65" s="3939"/>
      <c r="E65" s="2880" t="s">
        <v>1311</v>
      </c>
      <c r="F65" s="2881">
        <f>SUM(F66:F75)</f>
        <v>33923000</v>
      </c>
      <c r="G65" s="2881">
        <f t="shared" ref="G65:J65" si="4">SUM(G66:G75)</f>
        <v>5088450</v>
      </c>
      <c r="H65" s="2881">
        <f t="shared" si="4"/>
        <v>0</v>
      </c>
      <c r="I65" s="2881">
        <f t="shared" si="4"/>
        <v>28834550</v>
      </c>
      <c r="J65" s="2882">
        <f t="shared" si="4"/>
        <v>0</v>
      </c>
      <c r="K65" s="2865"/>
    </row>
    <row r="66" spans="1:11" s="2864" customFormat="1" ht="15" customHeight="1">
      <c r="A66" s="3934"/>
      <c r="B66" s="3938"/>
      <c r="C66" s="3936"/>
      <c r="D66" s="3939"/>
      <c r="E66" s="2869" t="s">
        <v>828</v>
      </c>
      <c r="F66" s="2870">
        <f>SUM(G66:J66)</f>
        <v>22525000</v>
      </c>
      <c r="G66" s="2870"/>
      <c r="H66" s="2870"/>
      <c r="I66" s="2870">
        <v>22525000</v>
      </c>
      <c r="J66" s="2871"/>
    </row>
    <row r="67" spans="1:11" s="2864" customFormat="1" ht="15" customHeight="1">
      <c r="A67" s="3934"/>
      <c r="B67" s="3938"/>
      <c r="C67" s="3936"/>
      <c r="D67" s="3939"/>
      <c r="E67" s="2869" t="s">
        <v>829</v>
      </c>
      <c r="F67" s="2870">
        <f t="shared" ref="F67:F78" si="5">SUM(G67:J67)</f>
        <v>3975000</v>
      </c>
      <c r="G67" s="2870">
        <v>3975000</v>
      </c>
      <c r="H67" s="2870"/>
      <c r="I67" s="2870"/>
      <c r="J67" s="2871"/>
    </row>
    <row r="68" spans="1:11" s="2864" customFormat="1" ht="15" customHeight="1">
      <c r="A68" s="3934"/>
      <c r="B68" s="3938"/>
      <c r="C68" s="3936"/>
      <c r="D68" s="3939"/>
      <c r="E68" s="2869" t="s">
        <v>830</v>
      </c>
      <c r="F68" s="2870">
        <f t="shared" si="5"/>
        <v>1474750</v>
      </c>
      <c r="G68" s="2870"/>
      <c r="H68" s="2870"/>
      <c r="I68" s="2870">
        <v>1474750</v>
      </c>
      <c r="J68" s="2871"/>
    </row>
    <row r="69" spans="1:11" s="2864" customFormat="1" ht="15" customHeight="1">
      <c r="A69" s="3934"/>
      <c r="B69" s="3938"/>
      <c r="C69" s="3936"/>
      <c r="D69" s="3939"/>
      <c r="E69" s="2869" t="s">
        <v>831</v>
      </c>
      <c r="F69" s="2870">
        <f t="shared" si="5"/>
        <v>260250</v>
      </c>
      <c r="G69" s="2870">
        <v>260250</v>
      </c>
      <c r="H69" s="2870"/>
      <c r="I69" s="2870"/>
      <c r="J69" s="2871"/>
    </row>
    <row r="70" spans="1:11" s="2864" customFormat="1" ht="15" customHeight="1">
      <c r="A70" s="3934"/>
      <c r="B70" s="3938"/>
      <c r="C70" s="3936"/>
      <c r="D70" s="3939"/>
      <c r="E70" s="2869" t="s">
        <v>832</v>
      </c>
      <c r="F70" s="2870">
        <f t="shared" si="5"/>
        <v>4080000</v>
      </c>
      <c r="G70" s="2870"/>
      <c r="H70" s="2870"/>
      <c r="I70" s="2870">
        <v>4080000</v>
      </c>
      <c r="J70" s="2871"/>
    </row>
    <row r="71" spans="1:11" s="2864" customFormat="1" ht="15" customHeight="1">
      <c r="A71" s="3934"/>
      <c r="B71" s="3938"/>
      <c r="C71" s="3936"/>
      <c r="D71" s="3939"/>
      <c r="E71" s="2869" t="s">
        <v>833</v>
      </c>
      <c r="F71" s="2870">
        <f t="shared" si="5"/>
        <v>720000</v>
      </c>
      <c r="G71" s="2870">
        <v>720000</v>
      </c>
      <c r="H71" s="2870"/>
      <c r="I71" s="2870"/>
      <c r="J71" s="2871"/>
    </row>
    <row r="72" spans="1:11" s="2864" customFormat="1" ht="15" customHeight="1">
      <c r="A72" s="3934"/>
      <c r="B72" s="3938"/>
      <c r="C72" s="3936"/>
      <c r="D72" s="3939"/>
      <c r="E72" s="2869" t="s">
        <v>834</v>
      </c>
      <c r="F72" s="2870">
        <f t="shared" si="5"/>
        <v>584800</v>
      </c>
      <c r="G72" s="2870"/>
      <c r="H72" s="2870"/>
      <c r="I72" s="2870">
        <v>584800</v>
      </c>
      <c r="J72" s="2871"/>
    </row>
    <row r="73" spans="1:11" s="2864" customFormat="1" ht="15" customHeight="1">
      <c r="A73" s="3934"/>
      <c r="B73" s="3938"/>
      <c r="C73" s="3936"/>
      <c r="D73" s="3939"/>
      <c r="E73" s="2869" t="s">
        <v>835</v>
      </c>
      <c r="F73" s="2870">
        <f t="shared" si="5"/>
        <v>103200</v>
      </c>
      <c r="G73" s="2870">
        <v>103200</v>
      </c>
      <c r="H73" s="2870"/>
      <c r="I73" s="2870"/>
      <c r="J73" s="2871"/>
    </row>
    <row r="74" spans="1:11" s="2864" customFormat="1" ht="15" customHeight="1">
      <c r="A74" s="3934"/>
      <c r="B74" s="3938"/>
      <c r="C74" s="3936"/>
      <c r="D74" s="3939"/>
      <c r="E74" s="2869" t="s">
        <v>855</v>
      </c>
      <c r="F74" s="2870">
        <f t="shared" si="5"/>
        <v>170000</v>
      </c>
      <c r="G74" s="2870"/>
      <c r="H74" s="2870"/>
      <c r="I74" s="2870">
        <v>170000</v>
      </c>
      <c r="J74" s="2871"/>
    </row>
    <row r="75" spans="1:11" s="2864" customFormat="1" ht="15" customHeight="1">
      <c r="A75" s="3934"/>
      <c r="B75" s="3938"/>
      <c r="C75" s="3936"/>
      <c r="D75" s="3939"/>
      <c r="E75" s="2869" t="s">
        <v>856</v>
      </c>
      <c r="F75" s="2870">
        <f t="shared" si="5"/>
        <v>30000</v>
      </c>
      <c r="G75" s="2870">
        <v>30000</v>
      </c>
      <c r="H75" s="2870"/>
      <c r="I75" s="2870"/>
      <c r="J75" s="2871"/>
    </row>
    <row r="76" spans="1:11" s="2864" customFormat="1" ht="22.5" hidden="1">
      <c r="A76" s="3934"/>
      <c r="B76" s="3938"/>
      <c r="C76" s="3936"/>
      <c r="D76" s="3939"/>
      <c r="E76" s="2880" t="s">
        <v>1312</v>
      </c>
      <c r="F76" s="2870">
        <f t="shared" si="5"/>
        <v>0</v>
      </c>
      <c r="G76" s="2881">
        <f>SUM(G77:G78)</f>
        <v>0</v>
      </c>
      <c r="H76" s="2881">
        <f>SUM(H77:H78)</f>
        <v>0</v>
      </c>
      <c r="I76" s="2881">
        <f>SUM(I77:I78)</f>
        <v>0</v>
      </c>
      <c r="J76" s="2882">
        <f>SUM(J77:J78)</f>
        <v>0</v>
      </c>
    </row>
    <row r="77" spans="1:11" s="2864" customFormat="1" ht="15" hidden="1" customHeight="1">
      <c r="A77" s="3934"/>
      <c r="B77" s="3938"/>
      <c r="C77" s="3936"/>
      <c r="D77" s="3939"/>
      <c r="E77" s="2869"/>
      <c r="F77" s="2870">
        <f t="shared" si="5"/>
        <v>0</v>
      </c>
      <c r="G77" s="2870"/>
      <c r="H77" s="2870"/>
      <c r="I77" s="2870"/>
      <c r="J77" s="2871"/>
    </row>
    <row r="78" spans="1:11" s="2864" customFormat="1" ht="15" hidden="1" customHeight="1">
      <c r="A78" s="3934"/>
      <c r="B78" s="3938"/>
      <c r="C78" s="3936"/>
      <c r="D78" s="3939"/>
      <c r="E78" s="2869"/>
      <c r="F78" s="2870">
        <f t="shared" si="5"/>
        <v>0</v>
      </c>
      <c r="G78" s="2870"/>
      <c r="H78" s="2870"/>
      <c r="I78" s="2870"/>
      <c r="J78" s="2871"/>
    </row>
    <row r="79" spans="1:11" s="2864" customFormat="1" ht="15" customHeight="1">
      <c r="A79" s="3934"/>
      <c r="B79" s="3938"/>
      <c r="C79" s="3936"/>
      <c r="D79" s="3939"/>
      <c r="E79" s="2872" t="s">
        <v>1305</v>
      </c>
      <c r="F79" s="2867">
        <f>SUM(F80:F80)</f>
        <v>0</v>
      </c>
      <c r="G79" s="2867">
        <f>SUM(G80:G80)</f>
        <v>0</v>
      </c>
      <c r="H79" s="2867">
        <f>SUM(H80:H80)</f>
        <v>0</v>
      </c>
      <c r="I79" s="2867">
        <f>SUM(I80:I80)</f>
        <v>0</v>
      </c>
      <c r="J79" s="2868">
        <f>SUM(J80:J80)</f>
        <v>0</v>
      </c>
    </row>
    <row r="80" spans="1:11" s="2864" customFormat="1" ht="15" hidden="1" customHeight="1">
      <c r="A80" s="2891"/>
      <c r="B80" s="2892"/>
      <c r="C80" s="2893"/>
      <c r="D80" s="2894"/>
      <c r="E80" s="2895"/>
      <c r="F80" s="2896">
        <f>SUM(G80:J80)</f>
        <v>0</v>
      </c>
      <c r="G80" s="2896"/>
      <c r="H80" s="2896"/>
      <c r="I80" s="2896"/>
      <c r="J80" s="2897"/>
    </row>
    <row r="81" spans="1:10" s="2864" customFormat="1" ht="22.5">
      <c r="A81" s="3934" t="s">
        <v>1317</v>
      </c>
      <c r="B81" s="3935" t="s">
        <v>1318</v>
      </c>
      <c r="C81" s="3936">
        <v>750</v>
      </c>
      <c r="D81" s="3939" t="s">
        <v>1016</v>
      </c>
      <c r="E81" s="2861" t="s">
        <v>1304</v>
      </c>
      <c r="F81" s="2862">
        <f>SUM(F82,F117)</f>
        <v>3801860</v>
      </c>
      <c r="G81" s="2862">
        <f>SUM(G82,G117)</f>
        <v>570279</v>
      </c>
      <c r="H81" s="2862">
        <f>SUM(H82,H117)</f>
        <v>0</v>
      </c>
      <c r="I81" s="2862">
        <f>SUM(I82,I117)</f>
        <v>3231581</v>
      </c>
      <c r="J81" s="2863">
        <f>SUM(J82,J117)</f>
        <v>0</v>
      </c>
    </row>
    <row r="82" spans="1:10" s="2864" customFormat="1" ht="21">
      <c r="A82" s="3934"/>
      <c r="B82" s="3935"/>
      <c r="C82" s="3936"/>
      <c r="D82" s="3939"/>
      <c r="E82" s="2866" t="s">
        <v>1310</v>
      </c>
      <c r="F82" s="2867">
        <f>SUM(F83,F90)</f>
        <v>3751860</v>
      </c>
      <c r="G82" s="2867">
        <f>SUM(G83,G90)</f>
        <v>562779</v>
      </c>
      <c r="H82" s="2867">
        <f>SUM(H83,H90)</f>
        <v>0</v>
      </c>
      <c r="I82" s="2867">
        <f>SUM(I83,I90)</f>
        <v>3189081</v>
      </c>
      <c r="J82" s="2868">
        <f>SUM(J83,J90)</f>
        <v>0</v>
      </c>
    </row>
    <row r="83" spans="1:10" s="2864" customFormat="1" ht="22.5">
      <c r="A83" s="3934"/>
      <c r="B83" s="3935"/>
      <c r="C83" s="3936"/>
      <c r="D83" s="3939"/>
      <c r="E83" s="2880" t="s">
        <v>1311</v>
      </c>
      <c r="F83" s="2881">
        <f>SUM(F84:F89)</f>
        <v>947860</v>
      </c>
      <c r="G83" s="2881">
        <f t="shared" ref="G83:J83" si="6">SUM(G84:G89)</f>
        <v>142179</v>
      </c>
      <c r="H83" s="2881">
        <f t="shared" si="6"/>
        <v>0</v>
      </c>
      <c r="I83" s="2881">
        <f t="shared" si="6"/>
        <v>805681</v>
      </c>
      <c r="J83" s="2882">
        <f t="shared" si="6"/>
        <v>0</v>
      </c>
    </row>
    <row r="84" spans="1:10" s="2864" customFormat="1" ht="15" customHeight="1">
      <c r="A84" s="3934"/>
      <c r="B84" s="3935"/>
      <c r="C84" s="3936"/>
      <c r="D84" s="3939"/>
      <c r="E84" s="2869" t="s">
        <v>832</v>
      </c>
      <c r="F84" s="2870">
        <f t="shared" ref="F84:F89" si="7">SUM(G84:J84)</f>
        <v>22848</v>
      </c>
      <c r="G84" s="2870"/>
      <c r="H84" s="2870"/>
      <c r="I84" s="2870">
        <v>22848</v>
      </c>
      <c r="J84" s="2871"/>
    </row>
    <row r="85" spans="1:10" s="2864" customFormat="1" ht="15" customHeight="1">
      <c r="A85" s="3934"/>
      <c r="B85" s="3935"/>
      <c r="C85" s="3936"/>
      <c r="D85" s="3939"/>
      <c r="E85" s="2869" t="s">
        <v>833</v>
      </c>
      <c r="F85" s="2870">
        <f t="shared" si="7"/>
        <v>4032</v>
      </c>
      <c r="G85" s="2870">
        <v>4032</v>
      </c>
      <c r="H85" s="2870"/>
      <c r="I85" s="2870"/>
      <c r="J85" s="2871"/>
    </row>
    <row r="86" spans="1:10" s="2864" customFormat="1" ht="15" customHeight="1">
      <c r="A86" s="3934"/>
      <c r="B86" s="3935"/>
      <c r="C86" s="3936"/>
      <c r="D86" s="3939"/>
      <c r="E86" s="2869" t="s">
        <v>834</v>
      </c>
      <c r="F86" s="2870">
        <f t="shared" si="7"/>
        <v>2533</v>
      </c>
      <c r="G86" s="2870"/>
      <c r="H86" s="2870"/>
      <c r="I86" s="2870">
        <v>2533</v>
      </c>
      <c r="J86" s="2871"/>
    </row>
    <row r="87" spans="1:10" s="2864" customFormat="1" ht="15" customHeight="1">
      <c r="A87" s="3934"/>
      <c r="B87" s="3935"/>
      <c r="C87" s="3936"/>
      <c r="D87" s="3939"/>
      <c r="E87" s="2869" t="s">
        <v>835</v>
      </c>
      <c r="F87" s="2870">
        <f t="shared" si="7"/>
        <v>447</v>
      </c>
      <c r="G87" s="2870">
        <v>447</v>
      </c>
      <c r="H87" s="2870"/>
      <c r="I87" s="2870"/>
      <c r="J87" s="2871"/>
    </row>
    <row r="88" spans="1:10" s="2864" customFormat="1" ht="15" customHeight="1">
      <c r="A88" s="3934"/>
      <c r="B88" s="3935"/>
      <c r="C88" s="3936"/>
      <c r="D88" s="3939"/>
      <c r="E88" s="2869" t="s">
        <v>836</v>
      </c>
      <c r="F88" s="2870">
        <f t="shared" si="7"/>
        <v>780300</v>
      </c>
      <c r="G88" s="2870"/>
      <c r="H88" s="2870"/>
      <c r="I88" s="2870">
        <v>780300</v>
      </c>
      <c r="J88" s="2871"/>
    </row>
    <row r="89" spans="1:10" s="2864" customFormat="1" ht="15" customHeight="1">
      <c r="A89" s="3934"/>
      <c r="B89" s="3935"/>
      <c r="C89" s="3936"/>
      <c r="D89" s="3939"/>
      <c r="E89" s="2869" t="s">
        <v>837</v>
      </c>
      <c r="F89" s="2870">
        <f t="shared" si="7"/>
        <v>137700</v>
      </c>
      <c r="G89" s="2870">
        <v>137700</v>
      </c>
      <c r="H89" s="2870"/>
      <c r="I89" s="2870"/>
      <c r="J89" s="2871"/>
    </row>
    <row r="90" spans="1:10" s="2864" customFormat="1" ht="22.5">
      <c r="A90" s="3934"/>
      <c r="B90" s="3935"/>
      <c r="C90" s="3936"/>
      <c r="D90" s="3939"/>
      <c r="E90" s="2880" t="s">
        <v>1312</v>
      </c>
      <c r="F90" s="2881">
        <f>SUM(F91:F116)</f>
        <v>2804000</v>
      </c>
      <c r="G90" s="2881">
        <f t="shared" ref="G90:J90" si="8">SUM(G91:G116)</f>
        <v>420600</v>
      </c>
      <c r="H90" s="2881">
        <f t="shared" si="8"/>
        <v>0</v>
      </c>
      <c r="I90" s="2881">
        <f t="shared" si="8"/>
        <v>2383400</v>
      </c>
      <c r="J90" s="2882">
        <f t="shared" si="8"/>
        <v>0</v>
      </c>
    </row>
    <row r="91" spans="1:10" s="2864" customFormat="1" ht="15" customHeight="1">
      <c r="A91" s="3934"/>
      <c r="B91" s="3935"/>
      <c r="C91" s="3936"/>
      <c r="D91" s="3939"/>
      <c r="E91" s="2869" t="s">
        <v>1018</v>
      </c>
      <c r="F91" s="2870">
        <f>SUM(G91:J91)</f>
        <v>25500</v>
      </c>
      <c r="G91" s="2870"/>
      <c r="H91" s="2870"/>
      <c r="I91" s="2870">
        <v>25500</v>
      </c>
      <c r="J91" s="2871"/>
    </row>
    <row r="92" spans="1:10" s="2864" customFormat="1" ht="15" customHeight="1">
      <c r="A92" s="3934"/>
      <c r="B92" s="3935"/>
      <c r="C92" s="3936"/>
      <c r="D92" s="3939"/>
      <c r="E92" s="2869" t="s">
        <v>1019</v>
      </c>
      <c r="F92" s="2870">
        <f t="shared" ref="F92:F116" si="9">SUM(G92:J92)</f>
        <v>4500</v>
      </c>
      <c r="G92" s="2870">
        <v>4500</v>
      </c>
      <c r="H92" s="2870"/>
      <c r="I92" s="2870"/>
      <c r="J92" s="2871"/>
    </row>
    <row r="93" spans="1:10" s="2864" customFormat="1" ht="15" customHeight="1">
      <c r="A93" s="3934"/>
      <c r="B93" s="3935"/>
      <c r="C93" s="3936"/>
      <c r="D93" s="3939"/>
      <c r="E93" s="2869" t="s">
        <v>1020</v>
      </c>
      <c r="F93" s="2870">
        <f t="shared" si="9"/>
        <v>10200</v>
      </c>
      <c r="G93" s="2870"/>
      <c r="H93" s="2870"/>
      <c r="I93" s="2870">
        <v>10200</v>
      </c>
      <c r="J93" s="2871"/>
    </row>
    <row r="94" spans="1:10" s="2864" customFormat="1" ht="15" customHeight="1">
      <c r="A94" s="3934"/>
      <c r="B94" s="3935"/>
      <c r="C94" s="3936"/>
      <c r="D94" s="3939"/>
      <c r="E94" s="2869" t="s">
        <v>1022</v>
      </c>
      <c r="F94" s="2870">
        <f t="shared" si="9"/>
        <v>1800</v>
      </c>
      <c r="G94" s="2870">
        <v>1800</v>
      </c>
      <c r="H94" s="2870"/>
      <c r="I94" s="2870"/>
      <c r="J94" s="2871"/>
    </row>
    <row r="95" spans="1:10" s="2864" customFormat="1" ht="15" customHeight="1">
      <c r="A95" s="3934"/>
      <c r="B95" s="3935"/>
      <c r="C95" s="3936"/>
      <c r="D95" s="3939"/>
      <c r="E95" s="2869" t="s">
        <v>841</v>
      </c>
      <c r="F95" s="2870">
        <f t="shared" si="9"/>
        <v>1062500</v>
      </c>
      <c r="G95" s="2870"/>
      <c r="H95" s="2870"/>
      <c r="I95" s="2870">
        <v>1062500</v>
      </c>
      <c r="J95" s="2871"/>
    </row>
    <row r="96" spans="1:10" s="2864" customFormat="1" ht="15" customHeight="1">
      <c r="A96" s="3934"/>
      <c r="B96" s="3935"/>
      <c r="C96" s="3936"/>
      <c r="D96" s="3939"/>
      <c r="E96" s="2869" t="s">
        <v>842</v>
      </c>
      <c r="F96" s="2870">
        <f t="shared" si="9"/>
        <v>187500</v>
      </c>
      <c r="G96" s="2870">
        <v>187500</v>
      </c>
      <c r="H96" s="2870"/>
      <c r="I96" s="2870"/>
      <c r="J96" s="2871"/>
    </row>
    <row r="97" spans="1:10" s="2864" customFormat="1" ht="15" customHeight="1">
      <c r="A97" s="3934"/>
      <c r="B97" s="3935"/>
      <c r="C97" s="3936"/>
      <c r="D97" s="3939"/>
      <c r="E97" s="2869" t="s">
        <v>1023</v>
      </c>
      <c r="F97" s="2870">
        <f t="shared" si="9"/>
        <v>391000</v>
      </c>
      <c r="G97" s="2870"/>
      <c r="H97" s="2870"/>
      <c r="I97" s="2870">
        <v>391000</v>
      </c>
      <c r="J97" s="2871"/>
    </row>
    <row r="98" spans="1:10" s="2864" customFormat="1" ht="15" customHeight="1">
      <c r="A98" s="3934"/>
      <c r="B98" s="3935"/>
      <c r="C98" s="3936"/>
      <c r="D98" s="3939"/>
      <c r="E98" s="2869" t="s">
        <v>1024</v>
      </c>
      <c r="F98" s="2870">
        <f t="shared" si="9"/>
        <v>69000</v>
      </c>
      <c r="G98" s="2870">
        <v>69000</v>
      </c>
      <c r="H98" s="2870"/>
      <c r="I98" s="2870"/>
      <c r="J98" s="2871"/>
    </row>
    <row r="99" spans="1:10" s="2864" customFormat="1" ht="15" customHeight="1">
      <c r="A99" s="3934"/>
      <c r="B99" s="3935"/>
      <c r="C99" s="3936"/>
      <c r="D99" s="3939"/>
      <c r="E99" s="2869" t="s">
        <v>1025</v>
      </c>
      <c r="F99" s="2870">
        <f t="shared" si="9"/>
        <v>22950</v>
      </c>
      <c r="G99" s="2870"/>
      <c r="H99" s="2870"/>
      <c r="I99" s="2870">
        <v>22950</v>
      </c>
      <c r="J99" s="2871"/>
    </row>
    <row r="100" spans="1:10" s="2864" customFormat="1" ht="15" customHeight="1">
      <c r="A100" s="3934"/>
      <c r="B100" s="3935"/>
      <c r="C100" s="3936"/>
      <c r="D100" s="3939"/>
      <c r="E100" s="2869" t="s">
        <v>1026</v>
      </c>
      <c r="F100" s="2870">
        <f t="shared" si="9"/>
        <v>4050</v>
      </c>
      <c r="G100" s="2870">
        <v>4050</v>
      </c>
      <c r="H100" s="2870"/>
      <c r="I100" s="2870"/>
      <c r="J100" s="2871"/>
    </row>
    <row r="101" spans="1:10" s="2864" customFormat="1" ht="15" customHeight="1">
      <c r="A101" s="3934"/>
      <c r="B101" s="3935"/>
      <c r="C101" s="3936"/>
      <c r="D101" s="3939"/>
      <c r="E101" s="2869" t="s">
        <v>845</v>
      </c>
      <c r="F101" s="2870">
        <f t="shared" si="9"/>
        <v>385050</v>
      </c>
      <c r="G101" s="2870"/>
      <c r="H101" s="2870"/>
      <c r="I101" s="2870">
        <v>385050</v>
      </c>
      <c r="J101" s="2871"/>
    </row>
    <row r="102" spans="1:10" s="2864" customFormat="1" ht="15" customHeight="1">
      <c r="A102" s="3934"/>
      <c r="B102" s="3935"/>
      <c r="C102" s="3936"/>
      <c r="D102" s="3939"/>
      <c r="E102" s="2869" t="s">
        <v>846</v>
      </c>
      <c r="F102" s="2870">
        <f t="shared" si="9"/>
        <v>67950</v>
      </c>
      <c r="G102" s="2870">
        <v>67950</v>
      </c>
      <c r="H102" s="2870"/>
      <c r="I102" s="2870"/>
      <c r="J102" s="2871"/>
    </row>
    <row r="103" spans="1:10" s="2864" customFormat="1" ht="15" customHeight="1">
      <c r="A103" s="3934"/>
      <c r="B103" s="3935"/>
      <c r="C103" s="3936"/>
      <c r="D103" s="3939"/>
      <c r="E103" s="2869" t="s">
        <v>952</v>
      </c>
      <c r="F103" s="2870">
        <f t="shared" si="9"/>
        <v>5950</v>
      </c>
      <c r="G103" s="2870"/>
      <c r="H103" s="2870"/>
      <c r="I103" s="2870">
        <v>5950</v>
      </c>
      <c r="J103" s="2871"/>
    </row>
    <row r="104" spans="1:10" s="2864" customFormat="1" ht="15" customHeight="1">
      <c r="A104" s="3934"/>
      <c r="B104" s="3935"/>
      <c r="C104" s="3936"/>
      <c r="D104" s="3939"/>
      <c r="E104" s="2869" t="s">
        <v>953</v>
      </c>
      <c r="F104" s="2870">
        <f t="shared" si="9"/>
        <v>1050</v>
      </c>
      <c r="G104" s="2870">
        <v>1050</v>
      </c>
      <c r="H104" s="2870"/>
      <c r="I104" s="2870"/>
      <c r="J104" s="2871"/>
    </row>
    <row r="105" spans="1:10" s="2864" customFormat="1" ht="15" customHeight="1">
      <c r="A105" s="3934"/>
      <c r="B105" s="3935"/>
      <c r="C105" s="3936"/>
      <c r="D105" s="3939"/>
      <c r="E105" s="2869" t="s">
        <v>847</v>
      </c>
      <c r="F105" s="2870">
        <f t="shared" si="9"/>
        <v>8500</v>
      </c>
      <c r="G105" s="2870"/>
      <c r="H105" s="2870"/>
      <c r="I105" s="2870">
        <v>8500</v>
      </c>
      <c r="J105" s="2871"/>
    </row>
    <row r="106" spans="1:10" s="2864" customFormat="1" ht="15" customHeight="1">
      <c r="A106" s="3934"/>
      <c r="B106" s="3935"/>
      <c r="C106" s="3936"/>
      <c r="D106" s="3939"/>
      <c r="E106" s="2869" t="s">
        <v>848</v>
      </c>
      <c r="F106" s="2870">
        <f t="shared" si="9"/>
        <v>1500</v>
      </c>
      <c r="G106" s="2870">
        <v>1500</v>
      </c>
      <c r="H106" s="2870"/>
      <c r="I106" s="2870"/>
      <c r="J106" s="2871"/>
    </row>
    <row r="107" spans="1:10" s="2864" customFormat="1" ht="15" customHeight="1">
      <c r="A107" s="3934"/>
      <c r="B107" s="3935"/>
      <c r="C107" s="3936"/>
      <c r="D107" s="3939"/>
      <c r="E107" s="2869" t="s">
        <v>849</v>
      </c>
      <c r="F107" s="2870">
        <f t="shared" si="9"/>
        <v>63750</v>
      </c>
      <c r="G107" s="2870"/>
      <c r="H107" s="2870"/>
      <c r="I107" s="2870">
        <v>63750</v>
      </c>
      <c r="J107" s="2871"/>
    </row>
    <row r="108" spans="1:10" s="2864" customFormat="1" ht="15" customHeight="1">
      <c r="A108" s="3934"/>
      <c r="B108" s="3935"/>
      <c r="C108" s="3936"/>
      <c r="D108" s="3939"/>
      <c r="E108" s="2869" t="s">
        <v>850</v>
      </c>
      <c r="F108" s="2870">
        <f t="shared" si="9"/>
        <v>11250</v>
      </c>
      <c r="G108" s="2870">
        <v>11250</v>
      </c>
      <c r="H108" s="2870"/>
      <c r="I108" s="2870"/>
      <c r="J108" s="2871"/>
    </row>
    <row r="109" spans="1:10" s="2864" customFormat="1" ht="15" customHeight="1">
      <c r="A109" s="3934"/>
      <c r="B109" s="3935"/>
      <c r="C109" s="3936"/>
      <c r="D109" s="3939"/>
      <c r="E109" s="2869" t="s">
        <v>954</v>
      </c>
      <c r="F109" s="2870">
        <f t="shared" si="9"/>
        <v>59500</v>
      </c>
      <c r="G109" s="2870"/>
      <c r="H109" s="2870"/>
      <c r="I109" s="2870">
        <v>59500</v>
      </c>
      <c r="J109" s="2871"/>
    </row>
    <row r="110" spans="1:10" s="2864" customFormat="1" ht="15" customHeight="1">
      <c r="A110" s="3934"/>
      <c r="B110" s="3935"/>
      <c r="C110" s="3936"/>
      <c r="D110" s="3939"/>
      <c r="E110" s="2869" t="s">
        <v>955</v>
      </c>
      <c r="F110" s="2870">
        <f t="shared" si="9"/>
        <v>10500</v>
      </c>
      <c r="G110" s="2870">
        <v>10500</v>
      </c>
      <c r="H110" s="2870"/>
      <c r="I110" s="2870"/>
      <c r="J110" s="2871"/>
    </row>
    <row r="111" spans="1:10" s="2864" customFormat="1" ht="15" customHeight="1">
      <c r="A111" s="3934"/>
      <c r="B111" s="3935"/>
      <c r="C111" s="3936"/>
      <c r="D111" s="3939"/>
      <c r="E111" s="2869" t="s">
        <v>1031</v>
      </c>
      <c r="F111" s="2870">
        <f t="shared" si="9"/>
        <v>51000</v>
      </c>
      <c r="G111" s="2870"/>
      <c r="H111" s="2870"/>
      <c r="I111" s="2870">
        <v>51000</v>
      </c>
      <c r="J111" s="2871"/>
    </row>
    <row r="112" spans="1:10" s="2864" customFormat="1" ht="15" customHeight="1">
      <c r="A112" s="3934"/>
      <c r="B112" s="3935"/>
      <c r="C112" s="3936"/>
      <c r="D112" s="3939"/>
      <c r="E112" s="2869" t="s">
        <v>1032</v>
      </c>
      <c r="F112" s="2870">
        <f t="shared" si="9"/>
        <v>9000</v>
      </c>
      <c r="G112" s="2870">
        <v>9000</v>
      </c>
      <c r="H112" s="2870"/>
      <c r="I112" s="2870"/>
      <c r="J112" s="2871"/>
    </row>
    <row r="113" spans="1:14" s="2864" customFormat="1" ht="15" customHeight="1">
      <c r="A113" s="3934"/>
      <c r="B113" s="3935"/>
      <c r="C113" s="3936"/>
      <c r="D113" s="3939"/>
      <c r="E113" s="2869" t="s">
        <v>1033</v>
      </c>
      <c r="F113" s="2870">
        <f t="shared" si="9"/>
        <v>119000</v>
      </c>
      <c r="G113" s="2870"/>
      <c r="H113" s="2870"/>
      <c r="I113" s="2870">
        <v>119000</v>
      </c>
      <c r="J113" s="2871"/>
    </row>
    <row r="114" spans="1:14" s="2864" customFormat="1" ht="15" customHeight="1">
      <c r="A114" s="3934"/>
      <c r="B114" s="3935"/>
      <c r="C114" s="3936"/>
      <c r="D114" s="3939"/>
      <c r="E114" s="2869" t="s">
        <v>1034</v>
      </c>
      <c r="F114" s="2870">
        <f t="shared" si="9"/>
        <v>21000</v>
      </c>
      <c r="G114" s="2870">
        <v>21000</v>
      </c>
      <c r="H114" s="2870"/>
      <c r="I114" s="2870"/>
      <c r="J114" s="2871"/>
    </row>
    <row r="115" spans="1:14" s="2864" customFormat="1" ht="15" customHeight="1">
      <c r="A115" s="3934"/>
      <c r="B115" s="3935"/>
      <c r="C115" s="3936"/>
      <c r="D115" s="3939"/>
      <c r="E115" s="2869" t="s">
        <v>853</v>
      </c>
      <c r="F115" s="2870">
        <f t="shared" si="9"/>
        <v>178500</v>
      </c>
      <c r="G115" s="2870"/>
      <c r="H115" s="2870"/>
      <c r="I115" s="2870">
        <v>178500</v>
      </c>
      <c r="J115" s="2871"/>
    </row>
    <row r="116" spans="1:14" s="2864" customFormat="1" ht="15" customHeight="1">
      <c r="A116" s="3934"/>
      <c r="B116" s="3935"/>
      <c r="C116" s="3936"/>
      <c r="D116" s="3939"/>
      <c r="E116" s="2869" t="s">
        <v>854</v>
      </c>
      <c r="F116" s="2870">
        <f t="shared" si="9"/>
        <v>31500</v>
      </c>
      <c r="G116" s="2870">
        <v>31500</v>
      </c>
      <c r="H116" s="2870"/>
      <c r="I116" s="2870"/>
      <c r="J116" s="2871"/>
    </row>
    <row r="117" spans="1:14" s="2864" customFormat="1" ht="15" customHeight="1">
      <c r="A117" s="3934"/>
      <c r="B117" s="3935"/>
      <c r="C117" s="3936"/>
      <c r="D117" s="3939"/>
      <c r="E117" s="2872" t="s">
        <v>1305</v>
      </c>
      <c r="F117" s="2867">
        <f>SUM(F118:F119)</f>
        <v>50000</v>
      </c>
      <c r="G117" s="2867">
        <f>SUM(G118:G119)</f>
        <v>7500</v>
      </c>
      <c r="H117" s="2867">
        <f>SUM(H118:H119)</f>
        <v>0</v>
      </c>
      <c r="I117" s="2867">
        <f>SUM(I118:I119)</f>
        <v>42500</v>
      </c>
      <c r="J117" s="2868">
        <f>SUM(J118:J119)</f>
        <v>0</v>
      </c>
    </row>
    <row r="118" spans="1:14" s="2864" customFormat="1" ht="15" customHeight="1">
      <c r="A118" s="3934"/>
      <c r="B118" s="3935"/>
      <c r="C118" s="3936"/>
      <c r="D118" s="3939"/>
      <c r="E118" s="2869" t="s">
        <v>933</v>
      </c>
      <c r="F118" s="2870">
        <f t="shared" ref="F118:F119" si="10">SUM(G118:J118)</f>
        <v>42500</v>
      </c>
      <c r="G118" s="2870"/>
      <c r="H118" s="2870"/>
      <c r="I118" s="2870">
        <v>42500</v>
      </c>
      <c r="J118" s="2871"/>
    </row>
    <row r="119" spans="1:14" s="2864" customFormat="1" ht="15" customHeight="1">
      <c r="A119" s="3934"/>
      <c r="B119" s="3935"/>
      <c r="C119" s="3936"/>
      <c r="D119" s="3939"/>
      <c r="E119" s="2874">
        <v>6069</v>
      </c>
      <c r="F119" s="2870">
        <f t="shared" si="10"/>
        <v>7500</v>
      </c>
      <c r="G119" s="2870">
        <v>7500</v>
      </c>
      <c r="H119" s="2870"/>
      <c r="I119" s="2870"/>
      <c r="J119" s="2871"/>
    </row>
    <row r="120" spans="1:14" s="2864" customFormat="1" ht="22.5" hidden="1">
      <c r="A120" s="3940" t="s">
        <v>1319</v>
      </c>
      <c r="B120" s="3943" t="s">
        <v>1320</v>
      </c>
      <c r="C120" s="3946">
        <v>750</v>
      </c>
      <c r="D120" s="3949" t="s">
        <v>1016</v>
      </c>
      <c r="E120" s="2898" t="s">
        <v>1304</v>
      </c>
      <c r="F120" s="2899">
        <f>SUM(F121,F129)</f>
        <v>0</v>
      </c>
      <c r="G120" s="2899">
        <f>SUM(G121,G129)</f>
        <v>0</v>
      </c>
      <c r="H120" s="2899">
        <f>SUM(H121,H129)</f>
        <v>0</v>
      </c>
      <c r="I120" s="2899">
        <f>SUM(I121,I129)</f>
        <v>0</v>
      </c>
      <c r="J120" s="2900">
        <f>SUM(J121,J129)</f>
        <v>0</v>
      </c>
      <c r="K120" s="2865"/>
    </row>
    <row r="121" spans="1:14" s="2864" customFormat="1" ht="21" hidden="1">
      <c r="A121" s="3941"/>
      <c r="B121" s="3944"/>
      <c r="C121" s="3947"/>
      <c r="D121" s="3950"/>
      <c r="E121" s="2901" t="s">
        <v>1310</v>
      </c>
      <c r="F121" s="2902">
        <f>SUM(F122,F126)</f>
        <v>0</v>
      </c>
      <c r="G121" s="2902">
        <f>SUM(G122,G126)</f>
        <v>0</v>
      </c>
      <c r="H121" s="2902">
        <f>SUM(H122,H126)</f>
        <v>0</v>
      </c>
      <c r="I121" s="2902">
        <f>SUM(I122,I126)</f>
        <v>0</v>
      </c>
      <c r="J121" s="2903">
        <f>SUM(J122,J126)</f>
        <v>0</v>
      </c>
    </row>
    <row r="122" spans="1:14" s="2864" customFormat="1" ht="15" hidden="1" customHeight="1">
      <c r="A122" s="3941"/>
      <c r="B122" s="3944"/>
      <c r="C122" s="3947"/>
      <c r="D122" s="3950"/>
      <c r="E122" s="2904" t="s">
        <v>1311</v>
      </c>
      <c r="F122" s="2905">
        <f>SUM(F123:F125)</f>
        <v>0</v>
      </c>
      <c r="G122" s="2905">
        <f>SUM(G123:G125)</f>
        <v>0</v>
      </c>
      <c r="H122" s="2905">
        <f>SUM(H123:H125)</f>
        <v>0</v>
      </c>
      <c r="I122" s="2905">
        <f>SUM(I123:I125)</f>
        <v>0</v>
      </c>
      <c r="J122" s="2906">
        <f>SUM(J123:J125)</f>
        <v>0</v>
      </c>
    </row>
    <row r="123" spans="1:14" s="2864" customFormat="1" ht="15" hidden="1" customHeight="1">
      <c r="A123" s="3941"/>
      <c r="B123" s="3944"/>
      <c r="C123" s="3947"/>
      <c r="D123" s="3950"/>
      <c r="E123" s="2895"/>
      <c r="F123" s="2896">
        <f>SUM(G123:J123)</f>
        <v>0</v>
      </c>
      <c r="G123" s="2896"/>
      <c r="H123" s="2896"/>
      <c r="I123" s="2896"/>
      <c r="J123" s="2897"/>
    </row>
    <row r="124" spans="1:14" s="2864" customFormat="1" ht="15" hidden="1" customHeight="1">
      <c r="A124" s="3941"/>
      <c r="B124" s="3944"/>
      <c r="C124" s="3947"/>
      <c r="D124" s="3950"/>
      <c r="E124" s="2895"/>
      <c r="F124" s="2896">
        <f>SUM(G124:J124)</f>
        <v>0</v>
      </c>
      <c r="G124" s="2896"/>
      <c r="H124" s="2896"/>
      <c r="I124" s="2896"/>
      <c r="J124" s="2897"/>
    </row>
    <row r="125" spans="1:14" s="2864" customFormat="1" ht="15" hidden="1" customHeight="1">
      <c r="A125" s="3941"/>
      <c r="B125" s="3944"/>
      <c r="C125" s="3947"/>
      <c r="D125" s="3950"/>
      <c r="E125" s="2895"/>
      <c r="F125" s="2896">
        <f>SUM(G125:J125)</f>
        <v>0</v>
      </c>
      <c r="G125" s="2896"/>
      <c r="H125" s="2896"/>
      <c r="I125" s="2896"/>
      <c r="J125" s="2897"/>
    </row>
    <row r="126" spans="1:14" s="2864" customFormat="1" ht="15" hidden="1" customHeight="1">
      <c r="A126" s="3941"/>
      <c r="B126" s="3944"/>
      <c r="C126" s="3947"/>
      <c r="D126" s="3950"/>
      <c r="E126" s="2904" t="s">
        <v>1312</v>
      </c>
      <c r="F126" s="2905">
        <f>SUM(F127:F128)</f>
        <v>0</v>
      </c>
      <c r="G126" s="2905">
        <f>SUM(G127:G128)</f>
        <v>0</v>
      </c>
      <c r="H126" s="2905">
        <f>SUM(H127:H128)</f>
        <v>0</v>
      </c>
      <c r="I126" s="2905">
        <f>SUM(I127:I128)</f>
        <v>0</v>
      </c>
      <c r="J126" s="2906">
        <f>SUM(J127:J128)</f>
        <v>0</v>
      </c>
      <c r="K126" s="2865"/>
      <c r="L126" s="2865"/>
      <c r="M126" s="2865"/>
      <c r="N126" s="2865"/>
    </row>
    <row r="127" spans="1:14" s="2864" customFormat="1" ht="15" hidden="1" customHeight="1">
      <c r="A127" s="3941"/>
      <c r="B127" s="3944"/>
      <c r="C127" s="3947"/>
      <c r="D127" s="3950"/>
      <c r="E127" s="2895" t="s">
        <v>845</v>
      </c>
      <c r="F127" s="2896">
        <f>SUM(G127:J127)</f>
        <v>0</v>
      </c>
      <c r="G127" s="2896"/>
      <c r="H127" s="2896"/>
      <c r="I127" s="2896"/>
      <c r="J127" s="2897"/>
      <c r="K127" s="2865"/>
      <c r="L127" s="2865"/>
      <c r="M127" s="2865"/>
      <c r="N127" s="2865"/>
    </row>
    <row r="128" spans="1:14" s="2864" customFormat="1" ht="15" hidden="1" customHeight="1">
      <c r="A128" s="3941"/>
      <c r="B128" s="3944"/>
      <c r="C128" s="3947"/>
      <c r="D128" s="3950"/>
      <c r="E128" s="2895" t="s">
        <v>846</v>
      </c>
      <c r="F128" s="2896">
        <f>SUM(G128:J128)</f>
        <v>0</v>
      </c>
      <c r="G128" s="2896"/>
      <c r="H128" s="2896"/>
      <c r="I128" s="2896"/>
      <c r="J128" s="2897"/>
      <c r="K128" s="2865"/>
      <c r="L128" s="2865"/>
      <c r="M128" s="2865"/>
      <c r="N128" s="2865"/>
    </row>
    <row r="129" spans="1:11" s="2864" customFormat="1" ht="15" hidden="1" customHeight="1">
      <c r="A129" s="3941"/>
      <c r="B129" s="3944"/>
      <c r="C129" s="3947"/>
      <c r="D129" s="3950"/>
      <c r="E129" s="2907" t="s">
        <v>1305</v>
      </c>
      <c r="F129" s="2902">
        <f>SUM(F130:F131)</f>
        <v>0</v>
      </c>
      <c r="G129" s="2902">
        <f>SUM(G130:G131)</f>
        <v>0</v>
      </c>
      <c r="H129" s="2902">
        <f>SUM(H130:H131)</f>
        <v>0</v>
      </c>
      <c r="I129" s="2902">
        <f>SUM(I130:I131)</f>
        <v>0</v>
      </c>
      <c r="J129" s="2903">
        <f>SUM(J130:J131)</f>
        <v>0</v>
      </c>
    </row>
    <row r="130" spans="1:11" s="2864" customFormat="1" ht="15" hidden="1" customHeight="1">
      <c r="A130" s="3941"/>
      <c r="B130" s="3944"/>
      <c r="C130" s="3947"/>
      <c r="D130" s="3950"/>
      <c r="E130" s="2895"/>
      <c r="F130" s="2896">
        <f>SUM(G130:J130)</f>
        <v>0</v>
      </c>
      <c r="G130" s="2896"/>
      <c r="H130" s="2896"/>
      <c r="I130" s="2896"/>
      <c r="J130" s="2897"/>
    </row>
    <row r="131" spans="1:11" s="2864" customFormat="1" ht="15" hidden="1" customHeight="1">
      <c r="A131" s="3942"/>
      <c r="B131" s="3945"/>
      <c r="C131" s="3948"/>
      <c r="D131" s="3951"/>
      <c r="E131" s="2895"/>
      <c r="F131" s="2896">
        <f>SUM(G131:J131)</f>
        <v>0</v>
      </c>
      <c r="G131" s="2896"/>
      <c r="H131" s="2896"/>
      <c r="I131" s="2896"/>
      <c r="J131" s="2897"/>
    </row>
    <row r="132" spans="1:11" s="2864" customFormat="1" ht="22.5">
      <c r="A132" s="3934" t="s">
        <v>1319</v>
      </c>
      <c r="B132" s="3935" t="s">
        <v>1321</v>
      </c>
      <c r="C132" s="3936">
        <v>750</v>
      </c>
      <c r="D132" s="3939" t="s">
        <v>1016</v>
      </c>
      <c r="E132" s="2861" t="s">
        <v>1304</v>
      </c>
      <c r="F132" s="2862">
        <f>SUM(F133,F142)</f>
        <v>350000</v>
      </c>
      <c r="G132" s="2862">
        <f>SUM(G133,G142)</f>
        <v>52500</v>
      </c>
      <c r="H132" s="2862">
        <f>SUM(H133,H142)</f>
        <v>0</v>
      </c>
      <c r="I132" s="2862">
        <f>SUM(I133,I142)</f>
        <v>297500</v>
      </c>
      <c r="J132" s="2863">
        <f>SUM(J133,J142)</f>
        <v>0</v>
      </c>
    </row>
    <row r="133" spans="1:11" s="2864" customFormat="1" ht="21">
      <c r="A133" s="3934"/>
      <c r="B133" s="3935"/>
      <c r="C133" s="3936"/>
      <c r="D133" s="3939"/>
      <c r="E133" s="2866" t="s">
        <v>1310</v>
      </c>
      <c r="F133" s="2867">
        <f>SUM(F134,F137)</f>
        <v>350000</v>
      </c>
      <c r="G133" s="2867">
        <f>SUM(G134,G137)</f>
        <v>52500</v>
      </c>
      <c r="H133" s="2867">
        <f>SUM(H134,H137)</f>
        <v>0</v>
      </c>
      <c r="I133" s="2867">
        <f>SUM(I134,I137)</f>
        <v>297500</v>
      </c>
      <c r="J133" s="2868">
        <f>SUM(J134,J137)</f>
        <v>0</v>
      </c>
    </row>
    <row r="134" spans="1:11" s="2864" customFormat="1" ht="22.5">
      <c r="A134" s="3934"/>
      <c r="B134" s="3935"/>
      <c r="C134" s="3936"/>
      <c r="D134" s="3939"/>
      <c r="E134" s="2880" t="s">
        <v>1311</v>
      </c>
      <c r="F134" s="2881">
        <f>SUM(F135:F136)</f>
        <v>45000</v>
      </c>
      <c r="G134" s="2881">
        <f>SUM(G135:G136)</f>
        <v>6750</v>
      </c>
      <c r="H134" s="2881">
        <f>SUM(H135:H136)</f>
        <v>0</v>
      </c>
      <c r="I134" s="2881">
        <f>SUM(I135:I136)</f>
        <v>38250</v>
      </c>
      <c r="J134" s="2882">
        <f>SUM(J135:J136)</f>
        <v>0</v>
      </c>
      <c r="K134" s="2865"/>
    </row>
    <row r="135" spans="1:11" s="2864" customFormat="1" ht="15" customHeight="1">
      <c r="A135" s="3934"/>
      <c r="B135" s="3935"/>
      <c r="C135" s="3936"/>
      <c r="D135" s="3939"/>
      <c r="E135" s="2869" t="s">
        <v>836</v>
      </c>
      <c r="F135" s="2870">
        <f>SUM(G135:J135)</f>
        <v>38250</v>
      </c>
      <c r="G135" s="2870"/>
      <c r="H135" s="2870"/>
      <c r="I135" s="2870">
        <v>38250</v>
      </c>
      <c r="J135" s="2871"/>
    </row>
    <row r="136" spans="1:11" s="2864" customFormat="1" ht="15" customHeight="1">
      <c r="A136" s="3934"/>
      <c r="B136" s="3935"/>
      <c r="C136" s="3936"/>
      <c r="D136" s="3939"/>
      <c r="E136" s="2869" t="s">
        <v>837</v>
      </c>
      <c r="F136" s="2870">
        <f>SUM(G136:J136)</f>
        <v>6750</v>
      </c>
      <c r="G136" s="2870">
        <v>6750</v>
      </c>
      <c r="H136" s="2870"/>
      <c r="I136" s="2870"/>
      <c r="J136" s="2871"/>
    </row>
    <row r="137" spans="1:11" s="2864" customFormat="1" ht="22.5">
      <c r="A137" s="3934"/>
      <c r="B137" s="3935"/>
      <c r="C137" s="3936"/>
      <c r="D137" s="3939"/>
      <c r="E137" s="2880" t="s">
        <v>1312</v>
      </c>
      <c r="F137" s="2881">
        <f>SUM(F138:F141)</f>
        <v>305000</v>
      </c>
      <c r="G137" s="2881">
        <f>SUM(G138:G141)</f>
        <v>45750</v>
      </c>
      <c r="H137" s="2881">
        <f>SUM(H138:H141)</f>
        <v>0</v>
      </c>
      <c r="I137" s="2881">
        <f>SUM(I138:I141)</f>
        <v>259250</v>
      </c>
      <c r="J137" s="2882">
        <f>SUM(J138:J141)</f>
        <v>0</v>
      </c>
    </row>
    <row r="138" spans="1:11" s="2864" customFormat="1" ht="15" customHeight="1">
      <c r="A138" s="3934"/>
      <c r="B138" s="3935"/>
      <c r="C138" s="3936"/>
      <c r="D138" s="3939"/>
      <c r="E138" s="2869" t="s">
        <v>845</v>
      </c>
      <c r="F138" s="2870">
        <f>SUM(G138:J138)</f>
        <v>21250</v>
      </c>
      <c r="G138" s="2870"/>
      <c r="H138" s="2870"/>
      <c r="I138" s="2870">
        <v>21250</v>
      </c>
      <c r="J138" s="2871"/>
    </row>
    <row r="139" spans="1:11" s="2864" customFormat="1" ht="15" customHeight="1">
      <c r="A139" s="3934"/>
      <c r="B139" s="3935"/>
      <c r="C139" s="3936"/>
      <c r="D139" s="3939"/>
      <c r="E139" s="2869" t="s">
        <v>846</v>
      </c>
      <c r="F139" s="2870">
        <f>SUM(G139:J139)</f>
        <v>3750</v>
      </c>
      <c r="G139" s="2870">
        <v>3750</v>
      </c>
      <c r="H139" s="2870"/>
      <c r="I139" s="2870"/>
      <c r="J139" s="2871"/>
    </row>
    <row r="140" spans="1:11" s="2864" customFormat="1" ht="15" customHeight="1">
      <c r="A140" s="3934"/>
      <c r="B140" s="3935"/>
      <c r="C140" s="3936"/>
      <c r="D140" s="3939"/>
      <c r="E140" s="2869" t="s">
        <v>847</v>
      </c>
      <c r="F140" s="2870">
        <f>SUM(G140:J140)</f>
        <v>238000</v>
      </c>
      <c r="G140" s="2870"/>
      <c r="H140" s="2870"/>
      <c r="I140" s="2870">
        <v>238000</v>
      </c>
      <c r="J140" s="2871"/>
    </row>
    <row r="141" spans="1:11" s="2864" customFormat="1" ht="15" customHeight="1">
      <c r="A141" s="3934"/>
      <c r="B141" s="3935"/>
      <c r="C141" s="3936"/>
      <c r="D141" s="3939"/>
      <c r="E141" s="2869" t="s">
        <v>848</v>
      </c>
      <c r="F141" s="2870">
        <f>SUM(G141:J141)</f>
        <v>42000</v>
      </c>
      <c r="G141" s="2870">
        <v>42000</v>
      </c>
      <c r="H141" s="2870"/>
      <c r="I141" s="2870"/>
      <c r="J141" s="2871"/>
    </row>
    <row r="142" spans="1:11" s="2864" customFormat="1" ht="15" customHeight="1">
      <c r="A142" s="3934"/>
      <c r="B142" s="3935"/>
      <c r="C142" s="3936"/>
      <c r="D142" s="3939"/>
      <c r="E142" s="2872" t="s">
        <v>1305</v>
      </c>
      <c r="F142" s="2867">
        <f>SUM(F143:F144)</f>
        <v>0</v>
      </c>
      <c r="G142" s="2867">
        <f>SUM(G143:G144)</f>
        <v>0</v>
      </c>
      <c r="H142" s="2867">
        <f>SUM(H143:H144)</f>
        <v>0</v>
      </c>
      <c r="I142" s="2867">
        <f>SUM(I143:I144)</f>
        <v>0</v>
      </c>
      <c r="J142" s="2868">
        <f>SUM(J143:J144)</f>
        <v>0</v>
      </c>
    </row>
    <row r="143" spans="1:11" s="2864" customFormat="1" ht="15" hidden="1" customHeight="1">
      <c r="A143" s="3934"/>
      <c r="B143" s="3935"/>
      <c r="C143" s="3936"/>
      <c r="D143" s="3939"/>
      <c r="E143" s="2869"/>
      <c r="F143" s="2870">
        <f>SUM(G143:J143)</f>
        <v>0</v>
      </c>
      <c r="G143" s="2870"/>
      <c r="H143" s="2870"/>
      <c r="I143" s="2870"/>
      <c r="J143" s="2871"/>
    </row>
    <row r="144" spans="1:11" s="2864" customFormat="1" ht="15" hidden="1" customHeight="1">
      <c r="A144" s="3934"/>
      <c r="B144" s="3935"/>
      <c r="C144" s="3936"/>
      <c r="D144" s="3939"/>
      <c r="E144" s="2874"/>
      <c r="F144" s="2870">
        <f>SUM(G144:J144)</f>
        <v>0</v>
      </c>
      <c r="G144" s="2870"/>
      <c r="H144" s="2870"/>
      <c r="I144" s="2870"/>
      <c r="J144" s="2871"/>
    </row>
    <row r="145" spans="1:12" s="2864" customFormat="1" ht="22.5">
      <c r="A145" s="3910" t="s">
        <v>1322</v>
      </c>
      <c r="B145" s="3912" t="s">
        <v>1323</v>
      </c>
      <c r="C145" s="3924">
        <v>150</v>
      </c>
      <c r="D145" s="3927" t="s">
        <v>375</v>
      </c>
      <c r="E145" s="2861" t="s">
        <v>1304</v>
      </c>
      <c r="F145" s="2862">
        <f>SUM(F146,F161)</f>
        <v>13826521</v>
      </c>
      <c r="G145" s="2862">
        <f>SUM(G146,G161)</f>
        <v>0</v>
      </c>
      <c r="H145" s="2862">
        <f>SUM(H146,H161)</f>
        <v>13826521</v>
      </c>
      <c r="I145" s="2862">
        <f>SUM(I146,I161)</f>
        <v>0</v>
      </c>
      <c r="J145" s="2863">
        <f>SUM(J146,J161)</f>
        <v>0</v>
      </c>
    </row>
    <row r="146" spans="1:12" s="2864" customFormat="1" ht="21">
      <c r="A146" s="3911"/>
      <c r="B146" s="3913"/>
      <c r="C146" s="3925"/>
      <c r="D146" s="3928"/>
      <c r="E146" s="2866" t="s">
        <v>1310</v>
      </c>
      <c r="F146" s="2867">
        <f>SUM(F147,F149,F151,F157)</f>
        <v>13826521</v>
      </c>
      <c r="G146" s="2867">
        <f t="shared" ref="G146:J146" si="11">SUM(G147,G149,G151,G157)</f>
        <v>0</v>
      </c>
      <c r="H146" s="2867">
        <f t="shared" si="11"/>
        <v>13826521</v>
      </c>
      <c r="I146" s="2867">
        <f t="shared" si="11"/>
        <v>0</v>
      </c>
      <c r="J146" s="2868">
        <f t="shared" si="11"/>
        <v>0</v>
      </c>
    </row>
    <row r="147" spans="1:12" s="2864" customFormat="1" ht="15" customHeight="1">
      <c r="A147" s="3911"/>
      <c r="B147" s="3913"/>
      <c r="C147" s="3925"/>
      <c r="D147" s="3928"/>
      <c r="E147" s="2880" t="s">
        <v>1324</v>
      </c>
      <c r="F147" s="2881">
        <f>SUM(F148:F148)</f>
        <v>1401086</v>
      </c>
      <c r="G147" s="2881">
        <f>SUM(G148:G148)</f>
        <v>0</v>
      </c>
      <c r="H147" s="2881">
        <f>SUM(H148:H148)</f>
        <v>1401086</v>
      </c>
      <c r="I147" s="2881">
        <f>SUM(I148:I148)</f>
        <v>0</v>
      </c>
      <c r="J147" s="2882">
        <f>SUM(J148:J148)</f>
        <v>0</v>
      </c>
    </row>
    <row r="148" spans="1:12" s="2864" customFormat="1" ht="15" customHeight="1">
      <c r="A148" s="3911"/>
      <c r="B148" s="3913"/>
      <c r="C148" s="3925"/>
      <c r="D148" s="3928"/>
      <c r="E148" s="2869" t="s">
        <v>489</v>
      </c>
      <c r="F148" s="2870">
        <f>SUM(G148:J148)</f>
        <v>1401086</v>
      </c>
      <c r="G148" s="2870"/>
      <c r="H148" s="2870">
        <v>1401086</v>
      </c>
      <c r="I148" s="2870"/>
      <c r="J148" s="2871"/>
      <c r="K148" s="2865"/>
      <c r="L148" s="2865"/>
    </row>
    <row r="149" spans="1:12" s="2864" customFormat="1" ht="22.5">
      <c r="A149" s="3911"/>
      <c r="B149" s="3913"/>
      <c r="C149" s="3925"/>
      <c r="D149" s="3928"/>
      <c r="E149" s="2880" t="s">
        <v>1325</v>
      </c>
      <c r="F149" s="2881">
        <f>SUM(F150:F150)</f>
        <v>11830618</v>
      </c>
      <c r="G149" s="2881">
        <f>SUM(G150:G150)</f>
        <v>0</v>
      </c>
      <c r="H149" s="2881">
        <f>SUM(H150:H150)</f>
        <v>11830618</v>
      </c>
      <c r="I149" s="2881">
        <f>SUM(I150:I150)</f>
        <v>0</v>
      </c>
      <c r="J149" s="2882">
        <f>SUM(J150:J150)</f>
        <v>0</v>
      </c>
    </row>
    <row r="150" spans="1:12" s="2864" customFormat="1" ht="15" customHeight="1">
      <c r="A150" s="3911"/>
      <c r="B150" s="3913"/>
      <c r="C150" s="3925"/>
      <c r="D150" s="3928"/>
      <c r="E150" s="2869" t="s">
        <v>489</v>
      </c>
      <c r="F150" s="2870">
        <f>SUM(G150:J150)</f>
        <v>11830618</v>
      </c>
      <c r="G150" s="2870"/>
      <c r="H150" s="2870">
        <v>11830618</v>
      </c>
      <c r="I150" s="2870"/>
      <c r="J150" s="2871"/>
      <c r="K150" s="2865"/>
      <c r="L150" s="2865"/>
    </row>
    <row r="151" spans="1:12" s="2864" customFormat="1" ht="22.5" hidden="1">
      <c r="A151" s="3911"/>
      <c r="B151" s="3913"/>
      <c r="C151" s="3925"/>
      <c r="D151" s="3928"/>
      <c r="E151" s="2880" t="s">
        <v>1311</v>
      </c>
      <c r="F151" s="2881">
        <f>SUM(F152:F156)</f>
        <v>0</v>
      </c>
      <c r="G151" s="2881">
        <f t="shared" ref="G151:J151" si="12">SUM(G152:G156)</f>
        <v>0</v>
      </c>
      <c r="H151" s="2881">
        <f t="shared" si="12"/>
        <v>0</v>
      </c>
      <c r="I151" s="2881">
        <f t="shared" si="12"/>
        <v>0</v>
      </c>
      <c r="J151" s="2882">
        <f t="shared" si="12"/>
        <v>0</v>
      </c>
    </row>
    <row r="152" spans="1:12" s="2864" customFormat="1" ht="15" hidden="1" customHeight="1">
      <c r="A152" s="3911"/>
      <c r="B152" s="3913"/>
      <c r="C152" s="3925"/>
      <c r="D152" s="3928"/>
      <c r="E152" s="2869" t="s">
        <v>887</v>
      </c>
      <c r="F152" s="2870">
        <f>SUM(G152:J152)</f>
        <v>0</v>
      </c>
      <c r="G152" s="2870"/>
      <c r="H152" s="2870"/>
      <c r="I152" s="2870"/>
      <c r="J152" s="2871"/>
      <c r="K152" s="2865"/>
    </row>
    <row r="153" spans="1:12" s="2864" customFormat="1" ht="15" hidden="1" customHeight="1">
      <c r="A153" s="3911"/>
      <c r="B153" s="3913"/>
      <c r="C153" s="3925"/>
      <c r="D153" s="3928"/>
      <c r="E153" s="2869" t="s">
        <v>888</v>
      </c>
      <c r="F153" s="2870">
        <f>SUM(G153:J153)</f>
        <v>0</v>
      </c>
      <c r="G153" s="2870"/>
      <c r="H153" s="2870"/>
      <c r="I153" s="2870"/>
      <c r="J153" s="2871"/>
    </row>
    <row r="154" spans="1:12" s="2864" customFormat="1" ht="15" hidden="1" customHeight="1">
      <c r="A154" s="3911"/>
      <c r="B154" s="3913"/>
      <c r="C154" s="3925"/>
      <c r="D154" s="3928"/>
      <c r="E154" s="2869" t="s">
        <v>889</v>
      </c>
      <c r="F154" s="2870">
        <f t="shared" ref="F154:F156" si="13">SUM(G154:J154)</f>
        <v>0</v>
      </c>
      <c r="G154" s="2870"/>
      <c r="H154" s="2870"/>
      <c r="I154" s="2870"/>
      <c r="J154" s="2871"/>
      <c r="K154" s="2865"/>
      <c r="L154" s="2865"/>
    </row>
    <row r="155" spans="1:12" s="2864" customFormat="1" ht="15" hidden="1" customHeight="1">
      <c r="A155" s="3911"/>
      <c r="B155" s="3913"/>
      <c r="C155" s="3925"/>
      <c r="D155" s="3928"/>
      <c r="E155" s="2869" t="s">
        <v>890</v>
      </c>
      <c r="F155" s="2870">
        <f t="shared" si="13"/>
        <v>0</v>
      </c>
      <c r="G155" s="2870"/>
      <c r="H155" s="2870"/>
      <c r="I155" s="2870"/>
      <c r="J155" s="2871"/>
      <c r="K155" s="2908"/>
      <c r="L155" s="2865"/>
    </row>
    <row r="156" spans="1:12" s="2864" customFormat="1" ht="15" hidden="1" customHeight="1">
      <c r="A156" s="3911"/>
      <c r="B156" s="3913"/>
      <c r="C156" s="3925"/>
      <c r="D156" s="3928"/>
      <c r="E156" s="2869" t="s">
        <v>896</v>
      </c>
      <c r="F156" s="2870">
        <f t="shared" si="13"/>
        <v>0</v>
      </c>
      <c r="G156" s="2870"/>
      <c r="H156" s="2870"/>
      <c r="I156" s="2870"/>
      <c r="J156" s="2871"/>
      <c r="K156" s="2909"/>
    </row>
    <row r="157" spans="1:12" s="2864" customFormat="1" ht="22.5">
      <c r="A157" s="3911"/>
      <c r="B157" s="3913"/>
      <c r="C157" s="3925"/>
      <c r="D157" s="3928"/>
      <c r="E157" s="2880" t="s">
        <v>1312</v>
      </c>
      <c r="F157" s="2881">
        <f>SUM(F158:F160)</f>
        <v>594817</v>
      </c>
      <c r="G157" s="2881">
        <f>SUM(G158:G160)</f>
        <v>0</v>
      </c>
      <c r="H157" s="2881">
        <f>SUM(H158:H160)</f>
        <v>594817</v>
      </c>
      <c r="I157" s="2881">
        <f>SUM(I158:I160)</f>
        <v>0</v>
      </c>
      <c r="J157" s="2882">
        <f>SUM(J158:J160)</f>
        <v>0</v>
      </c>
    </row>
    <row r="158" spans="1:12" s="2864" customFormat="1" ht="15" hidden="1" customHeight="1">
      <c r="A158" s="3911"/>
      <c r="B158" s="3913"/>
      <c r="C158" s="3925"/>
      <c r="D158" s="3928"/>
      <c r="E158" s="2869" t="s">
        <v>891</v>
      </c>
      <c r="F158" s="2870">
        <f t="shared" ref="F158:F160" si="14">SUM(G158:J158)</f>
        <v>0</v>
      </c>
      <c r="G158" s="2870"/>
      <c r="H158" s="2870"/>
      <c r="I158" s="2870"/>
      <c r="J158" s="2871"/>
    </row>
    <row r="159" spans="1:12" s="2864" customFormat="1" ht="15" customHeight="1">
      <c r="A159" s="3911"/>
      <c r="B159" s="3913"/>
      <c r="C159" s="3925"/>
      <c r="D159" s="3928"/>
      <c r="E159" s="2869" t="s">
        <v>892</v>
      </c>
      <c r="F159" s="2870">
        <f t="shared" si="14"/>
        <v>594817</v>
      </c>
      <c r="G159" s="2870"/>
      <c r="H159" s="2870">
        <v>594817</v>
      </c>
      <c r="I159" s="2870"/>
      <c r="J159" s="2871"/>
    </row>
    <row r="160" spans="1:12" s="2864" customFormat="1" ht="15" hidden="1" customHeight="1">
      <c r="A160" s="3911"/>
      <c r="B160" s="3913"/>
      <c r="C160" s="3925"/>
      <c r="D160" s="3928"/>
      <c r="E160" s="2869" t="s">
        <v>637</v>
      </c>
      <c r="F160" s="2870">
        <f t="shared" si="14"/>
        <v>0</v>
      </c>
      <c r="G160" s="2870"/>
      <c r="H160" s="2870"/>
      <c r="I160" s="2870"/>
      <c r="J160" s="2871"/>
      <c r="K160" s="2909"/>
      <c r="L160" s="2865"/>
    </row>
    <row r="161" spans="1:10" s="2864" customFormat="1" ht="15" customHeight="1">
      <c r="A161" s="3920"/>
      <c r="B161" s="3937"/>
      <c r="C161" s="3926"/>
      <c r="D161" s="3929"/>
      <c r="E161" s="2872" t="s">
        <v>1305</v>
      </c>
      <c r="F161" s="2867">
        <f>SUM(F162:F163)</f>
        <v>0</v>
      </c>
      <c r="G161" s="2867">
        <f>SUM(G162:G163)</f>
        <v>0</v>
      </c>
      <c r="H161" s="2867">
        <f>SUM(H162:H163)</f>
        <v>0</v>
      </c>
      <c r="I161" s="2867">
        <f>SUM(I162:I163)</f>
        <v>0</v>
      </c>
      <c r="J161" s="2868">
        <f>SUM(J162:J163)</f>
        <v>0</v>
      </c>
    </row>
    <row r="162" spans="1:10" s="2864" customFormat="1" ht="15" hidden="1" customHeight="1">
      <c r="A162" s="2891"/>
      <c r="B162" s="2910"/>
      <c r="C162" s="2893"/>
      <c r="D162" s="2894"/>
      <c r="E162" s="2895"/>
      <c r="F162" s="2896">
        <f>SUM(G162:J162)</f>
        <v>0</v>
      </c>
      <c r="G162" s="2896"/>
      <c r="H162" s="2896"/>
      <c r="I162" s="2896"/>
      <c r="J162" s="2897"/>
    </row>
    <row r="163" spans="1:10" s="2864" customFormat="1" ht="15" hidden="1" customHeight="1">
      <c r="A163" s="2891"/>
      <c r="B163" s="2910"/>
      <c r="C163" s="2893"/>
      <c r="D163" s="2894"/>
      <c r="E163" s="2895"/>
      <c r="F163" s="2896">
        <f>SUM(G163:J163)</f>
        <v>0</v>
      </c>
      <c r="G163" s="2896"/>
      <c r="H163" s="2896"/>
      <c r="I163" s="2896"/>
      <c r="J163" s="2897"/>
    </row>
    <row r="164" spans="1:10" s="2864" customFormat="1" ht="22.5">
      <c r="A164" s="3934" t="s">
        <v>1326</v>
      </c>
      <c r="B164" s="3935" t="s">
        <v>1327</v>
      </c>
      <c r="C164" s="3936">
        <v>600</v>
      </c>
      <c r="D164" s="3939" t="s">
        <v>90</v>
      </c>
      <c r="E164" s="2861" t="s">
        <v>1304</v>
      </c>
      <c r="F164" s="2862">
        <f>SUM(F165,F174)</f>
        <v>150000</v>
      </c>
      <c r="G164" s="2862">
        <f>SUM(G165,G174)</f>
        <v>150000</v>
      </c>
      <c r="H164" s="2862">
        <f>SUM(H165,H174)</f>
        <v>0</v>
      </c>
      <c r="I164" s="2862">
        <f>SUM(I165,I174)</f>
        <v>0</v>
      </c>
      <c r="J164" s="2863">
        <f>SUM(J165,J174)</f>
        <v>0</v>
      </c>
    </row>
    <row r="165" spans="1:10" s="2864" customFormat="1" ht="15" customHeight="1">
      <c r="A165" s="3934"/>
      <c r="B165" s="3935"/>
      <c r="C165" s="3936"/>
      <c r="D165" s="3939"/>
      <c r="E165" s="2866" t="s">
        <v>1017</v>
      </c>
      <c r="F165" s="2867">
        <f>SUM(F166,F170)</f>
        <v>0</v>
      </c>
      <c r="G165" s="2867">
        <f>SUM(G166,G170)</f>
        <v>0</v>
      </c>
      <c r="H165" s="2867">
        <f>SUM(H166,H170)</f>
        <v>0</v>
      </c>
      <c r="I165" s="2867">
        <f>SUM(I166,I170)</f>
        <v>0</v>
      </c>
      <c r="J165" s="2868">
        <f>SUM(J166,J170)</f>
        <v>0</v>
      </c>
    </row>
    <row r="166" spans="1:10" s="2864" customFormat="1" ht="15" hidden="1" customHeight="1">
      <c r="A166" s="3934"/>
      <c r="B166" s="3935"/>
      <c r="C166" s="3936"/>
      <c r="D166" s="3939"/>
      <c r="E166" s="2880" t="s">
        <v>1311</v>
      </c>
      <c r="F166" s="2881">
        <f>SUM(F167:F169)</f>
        <v>0</v>
      </c>
      <c r="G166" s="2881">
        <f>SUM(G167:G169)</f>
        <v>0</v>
      </c>
      <c r="H166" s="2881">
        <f>SUM(H167:H169)</f>
        <v>0</v>
      </c>
      <c r="I166" s="2881">
        <f>SUM(I167:I169)</f>
        <v>0</v>
      </c>
      <c r="J166" s="2882">
        <f>SUM(J167:J169)</f>
        <v>0</v>
      </c>
    </row>
    <row r="167" spans="1:10" s="2864" customFormat="1" ht="15" hidden="1" customHeight="1">
      <c r="A167" s="3934"/>
      <c r="B167" s="3935"/>
      <c r="C167" s="3936"/>
      <c r="D167" s="3939"/>
      <c r="E167" s="2869"/>
      <c r="F167" s="2870">
        <f>SUM(G167:J167)</f>
        <v>0</v>
      </c>
      <c r="G167" s="2870"/>
      <c r="H167" s="2870"/>
      <c r="I167" s="2870"/>
      <c r="J167" s="2871"/>
    </row>
    <row r="168" spans="1:10" s="2864" customFormat="1" ht="15" hidden="1" customHeight="1">
      <c r="A168" s="3934"/>
      <c r="B168" s="3935"/>
      <c r="C168" s="3936"/>
      <c r="D168" s="3939"/>
      <c r="E168" s="2869"/>
      <c r="F168" s="2870">
        <f>SUM(G168:J168)</f>
        <v>0</v>
      </c>
      <c r="G168" s="2870"/>
      <c r="H168" s="2870"/>
      <c r="I168" s="2870"/>
      <c r="J168" s="2871"/>
    </row>
    <row r="169" spans="1:10" s="2864" customFormat="1" ht="15" hidden="1" customHeight="1">
      <c r="A169" s="3934"/>
      <c r="B169" s="3935"/>
      <c r="C169" s="3936"/>
      <c r="D169" s="3939"/>
      <c r="E169" s="2869"/>
      <c r="F169" s="2870">
        <f>SUM(G169:J169)</f>
        <v>0</v>
      </c>
      <c r="G169" s="2870"/>
      <c r="H169" s="2870"/>
      <c r="I169" s="2870"/>
      <c r="J169" s="2871"/>
    </row>
    <row r="170" spans="1:10" s="2864" customFormat="1" ht="15" hidden="1" customHeight="1">
      <c r="A170" s="3934"/>
      <c r="B170" s="3935"/>
      <c r="C170" s="3936"/>
      <c r="D170" s="3939"/>
      <c r="E170" s="2880" t="s">
        <v>1312</v>
      </c>
      <c r="F170" s="2881">
        <f>SUM(F171:F173)</f>
        <v>0</v>
      </c>
      <c r="G170" s="2881">
        <f>SUM(G171:G173)</f>
        <v>0</v>
      </c>
      <c r="H170" s="2881">
        <f>SUM(H171:H173)</f>
        <v>0</v>
      </c>
      <c r="I170" s="2881">
        <f>SUM(I171:I173)</f>
        <v>0</v>
      </c>
      <c r="J170" s="2882">
        <f>SUM(J171:J173)</f>
        <v>0</v>
      </c>
    </row>
    <row r="171" spans="1:10" s="2864" customFormat="1" ht="15" hidden="1" customHeight="1">
      <c r="A171" s="3934"/>
      <c r="B171" s="3935"/>
      <c r="C171" s="3936"/>
      <c r="D171" s="3939"/>
      <c r="E171" s="2869"/>
      <c r="F171" s="2870">
        <f>SUM(G171:J171)</f>
        <v>0</v>
      </c>
      <c r="G171" s="2870"/>
      <c r="H171" s="2870"/>
      <c r="I171" s="2870"/>
      <c r="J171" s="2871"/>
    </row>
    <row r="172" spans="1:10" s="2864" customFormat="1" ht="15" hidden="1" customHeight="1">
      <c r="A172" s="3934"/>
      <c r="B172" s="3935"/>
      <c r="C172" s="3936"/>
      <c r="D172" s="3939"/>
      <c r="E172" s="2869"/>
      <c r="F172" s="2870">
        <f t="shared" ref="F172:F173" si="15">SUM(G172:J172)</f>
        <v>0</v>
      </c>
      <c r="G172" s="2870"/>
      <c r="H172" s="2870"/>
      <c r="I172" s="2870"/>
      <c r="J172" s="2871"/>
    </row>
    <row r="173" spans="1:10" s="2864" customFormat="1" ht="15" hidden="1" customHeight="1">
      <c r="A173" s="3934"/>
      <c r="B173" s="3935"/>
      <c r="C173" s="3936"/>
      <c r="D173" s="3939"/>
      <c r="E173" s="2869"/>
      <c r="F173" s="2870">
        <f t="shared" si="15"/>
        <v>0</v>
      </c>
      <c r="G173" s="2870"/>
      <c r="H173" s="2870"/>
      <c r="I173" s="2870"/>
      <c r="J173" s="2871"/>
    </row>
    <row r="174" spans="1:10" s="2864" customFormat="1" ht="15" customHeight="1">
      <c r="A174" s="3934"/>
      <c r="B174" s="3935"/>
      <c r="C174" s="3936"/>
      <c r="D174" s="3939"/>
      <c r="E174" s="2872" t="s">
        <v>1305</v>
      </c>
      <c r="F174" s="2867">
        <f>SUM(F175:F177)</f>
        <v>150000</v>
      </c>
      <c r="G174" s="2867">
        <f>SUM(G175:G177)</f>
        <v>150000</v>
      </c>
      <c r="H174" s="2867">
        <f>SUM(H175:H177)</f>
        <v>0</v>
      </c>
      <c r="I174" s="2867">
        <f>SUM(I175:I177)</f>
        <v>0</v>
      </c>
      <c r="J174" s="2868">
        <f>SUM(J175:J177)</f>
        <v>0</v>
      </c>
    </row>
    <row r="175" spans="1:10" s="2864" customFormat="1" ht="15" customHeight="1">
      <c r="A175" s="3934"/>
      <c r="B175" s="3935"/>
      <c r="C175" s="3936"/>
      <c r="D175" s="3939"/>
      <c r="E175" s="2911" t="s">
        <v>812</v>
      </c>
      <c r="F175" s="2870">
        <f t="shared" ref="F175" si="16">SUM(G175:J175)</f>
        <v>150000</v>
      </c>
      <c r="G175" s="2870">
        <v>150000</v>
      </c>
      <c r="H175" s="2870"/>
      <c r="I175" s="2870"/>
      <c r="J175" s="2871"/>
    </row>
    <row r="176" spans="1:10" s="2864" customFormat="1" ht="15" hidden="1" customHeight="1">
      <c r="A176" s="3934"/>
      <c r="B176" s="3935"/>
      <c r="C176" s="3936"/>
      <c r="D176" s="3939"/>
      <c r="E176" s="2869" t="s">
        <v>897</v>
      </c>
      <c r="F176" s="2870">
        <f>SUM(G176:J176)</f>
        <v>0</v>
      </c>
      <c r="G176" s="2870"/>
      <c r="H176" s="2870"/>
      <c r="I176" s="2870"/>
      <c r="J176" s="2871"/>
    </row>
    <row r="177" spans="1:16" s="2864" customFormat="1" ht="15" hidden="1" customHeight="1">
      <c r="A177" s="3934"/>
      <c r="B177" s="3935"/>
      <c r="C177" s="3936"/>
      <c r="D177" s="3939"/>
      <c r="E177" s="2874">
        <v>6069</v>
      </c>
      <c r="F177" s="2870">
        <f>SUM(G177:J177)</f>
        <v>0</v>
      </c>
      <c r="G177" s="2870"/>
      <c r="H177" s="2870"/>
      <c r="I177" s="2870"/>
      <c r="J177" s="2871"/>
    </row>
    <row r="178" spans="1:16" s="2864" customFormat="1" ht="22.5">
      <c r="A178" s="3934" t="s">
        <v>1328</v>
      </c>
      <c r="B178" s="3935" t="s">
        <v>1329</v>
      </c>
      <c r="C178" s="3924">
        <v>710</v>
      </c>
      <c r="D178" s="3927" t="s">
        <v>39</v>
      </c>
      <c r="E178" s="2861" t="s">
        <v>1304</v>
      </c>
      <c r="F178" s="2862">
        <f>SUM(F179,F185)</f>
        <v>4602404</v>
      </c>
      <c r="G178" s="2862">
        <f>SUM(G179,G185)</f>
        <v>0</v>
      </c>
      <c r="H178" s="2862">
        <f>SUM(H179,H185)</f>
        <v>4602404</v>
      </c>
      <c r="I178" s="2862">
        <f>SUM(I179,I185)</f>
        <v>0</v>
      </c>
      <c r="J178" s="2863">
        <f>SUM(J179,J185)</f>
        <v>0</v>
      </c>
      <c r="K178" s="2877"/>
      <c r="L178" s="2877"/>
      <c r="M178" s="2877"/>
      <c r="N178" s="2877"/>
      <c r="O178" s="2877"/>
      <c r="P178" s="2912"/>
    </row>
    <row r="179" spans="1:16" s="2864" customFormat="1" ht="21">
      <c r="A179" s="3934"/>
      <c r="B179" s="3935"/>
      <c r="C179" s="3925"/>
      <c r="D179" s="3928"/>
      <c r="E179" s="2866" t="s">
        <v>1310</v>
      </c>
      <c r="F179" s="2867">
        <f>SUM(F180,F182)</f>
        <v>4395917</v>
      </c>
      <c r="G179" s="2867">
        <f>SUM(G180,G182)</f>
        <v>0</v>
      </c>
      <c r="H179" s="2867">
        <f>SUM(H180,H182)</f>
        <v>4395917</v>
      </c>
      <c r="I179" s="2867">
        <f>SUM(I180,I182)</f>
        <v>0</v>
      </c>
      <c r="J179" s="2868">
        <f>SUM(J180,J182)</f>
        <v>0</v>
      </c>
      <c r="K179" s="2878"/>
      <c r="L179" s="2878"/>
      <c r="M179" s="2878"/>
      <c r="N179" s="2878"/>
      <c r="O179" s="2878"/>
      <c r="P179" s="2878"/>
    </row>
    <row r="180" spans="1:16" s="2864" customFormat="1" ht="15" customHeight="1">
      <c r="A180" s="3934"/>
      <c r="B180" s="3935"/>
      <c r="C180" s="3925"/>
      <c r="D180" s="3928"/>
      <c r="E180" s="2880" t="s">
        <v>1324</v>
      </c>
      <c r="F180" s="2881">
        <f>SUM(F181:F181)</f>
        <v>4395917</v>
      </c>
      <c r="G180" s="2881">
        <f>SUM(G181:G181)</f>
        <v>0</v>
      </c>
      <c r="H180" s="2881">
        <f>SUM(H181:H181)</f>
        <v>4395917</v>
      </c>
      <c r="I180" s="2881">
        <f>SUM(I181:I181)</f>
        <v>0</v>
      </c>
      <c r="J180" s="2882">
        <f>SUM(J181:J181)</f>
        <v>0</v>
      </c>
      <c r="K180" s="2878"/>
      <c r="L180" s="2878"/>
      <c r="M180" s="2878"/>
      <c r="N180" s="2878"/>
      <c r="O180" s="2878"/>
      <c r="P180" s="2878"/>
    </row>
    <row r="181" spans="1:16" s="2864" customFormat="1" ht="15" customHeight="1">
      <c r="A181" s="3934"/>
      <c r="B181" s="3935"/>
      <c r="C181" s="3925"/>
      <c r="D181" s="3928"/>
      <c r="E181" s="2869" t="s">
        <v>573</v>
      </c>
      <c r="F181" s="2870">
        <f>SUM(G181:J181)</f>
        <v>4395917</v>
      </c>
      <c r="G181" s="2870"/>
      <c r="H181" s="2870">
        <v>4395917</v>
      </c>
      <c r="I181" s="2870"/>
      <c r="J181" s="2871"/>
      <c r="K181" s="2877"/>
      <c r="L181" s="2877"/>
      <c r="M181" s="2877"/>
      <c r="N181" s="2877"/>
      <c r="O181" s="2877"/>
      <c r="P181" s="2878"/>
    </row>
    <row r="182" spans="1:16" s="2864" customFormat="1" ht="22.5" hidden="1">
      <c r="A182" s="3934"/>
      <c r="B182" s="3935"/>
      <c r="C182" s="3925"/>
      <c r="D182" s="3928"/>
      <c r="E182" s="2880" t="s">
        <v>1312</v>
      </c>
      <c r="F182" s="2881">
        <f>SUM(F183:F184)</f>
        <v>0</v>
      </c>
      <c r="G182" s="2881">
        <f>SUM(G183:G184)</f>
        <v>0</v>
      </c>
      <c r="H182" s="2881">
        <f>SUM(H183:H184)</f>
        <v>0</v>
      </c>
      <c r="I182" s="2881">
        <f>SUM(I183:I184)</f>
        <v>0</v>
      </c>
      <c r="J182" s="2882">
        <f>SUM(J183:J184)</f>
        <v>0</v>
      </c>
    </row>
    <row r="183" spans="1:16" s="2864" customFormat="1" ht="15" hidden="1" customHeight="1">
      <c r="A183" s="3934"/>
      <c r="B183" s="3935"/>
      <c r="C183" s="3925"/>
      <c r="D183" s="3928"/>
      <c r="E183" s="2913" t="s">
        <v>457</v>
      </c>
      <c r="F183" s="2870">
        <f>SUM(G183:J183)</f>
        <v>0</v>
      </c>
      <c r="G183" s="2870"/>
      <c r="H183" s="2870"/>
      <c r="I183" s="2870"/>
      <c r="J183" s="2871"/>
    </row>
    <row r="184" spans="1:16" s="2864" customFormat="1" ht="15" hidden="1" customHeight="1">
      <c r="A184" s="3934"/>
      <c r="B184" s="3935"/>
      <c r="C184" s="3926"/>
      <c r="D184" s="3929"/>
      <c r="E184" s="2869" t="s">
        <v>881</v>
      </c>
      <c r="F184" s="2870">
        <f t="shared" ref="F184" si="17">SUM(G184:J184)</f>
        <v>0</v>
      </c>
      <c r="G184" s="2870"/>
      <c r="H184" s="2870"/>
      <c r="I184" s="2870"/>
      <c r="J184" s="2871"/>
    </row>
    <row r="185" spans="1:16" s="2864" customFormat="1" ht="15" customHeight="1">
      <c r="A185" s="3934"/>
      <c r="B185" s="3935"/>
      <c r="C185" s="3924">
        <v>720</v>
      </c>
      <c r="D185" s="3927" t="s">
        <v>990</v>
      </c>
      <c r="E185" s="2872" t="s">
        <v>1305</v>
      </c>
      <c r="F185" s="2867">
        <f>SUM(F186:F189)</f>
        <v>206487</v>
      </c>
      <c r="G185" s="2867">
        <f>SUM(G186:G189)</f>
        <v>0</v>
      </c>
      <c r="H185" s="2867">
        <f>SUM(H186:H189)</f>
        <v>206487</v>
      </c>
      <c r="I185" s="2867">
        <f>SUM(I186:I189)</f>
        <v>0</v>
      </c>
      <c r="J185" s="2868">
        <f>SUM(J186:J189)</f>
        <v>0</v>
      </c>
      <c r="K185" s="2865"/>
    </row>
    <row r="186" spans="1:16" s="2864" customFormat="1" ht="15" hidden="1" customHeight="1">
      <c r="A186" s="3934"/>
      <c r="B186" s="3935"/>
      <c r="C186" s="3925"/>
      <c r="D186" s="3928"/>
      <c r="E186" s="2869" t="s">
        <v>821</v>
      </c>
      <c r="F186" s="2870">
        <f>SUM(G186:J186)</f>
        <v>0</v>
      </c>
      <c r="G186" s="2870"/>
      <c r="H186" s="2870"/>
      <c r="I186" s="2870"/>
      <c r="J186" s="2871"/>
      <c r="K186" s="2865"/>
    </row>
    <row r="187" spans="1:16" s="2864" customFormat="1" ht="15" hidden="1" customHeight="1">
      <c r="A187" s="3934"/>
      <c r="B187" s="3935"/>
      <c r="C187" s="3925"/>
      <c r="D187" s="3928"/>
      <c r="E187" s="2869" t="s">
        <v>920</v>
      </c>
      <c r="F187" s="2870">
        <f>SUM(G187:J187)</f>
        <v>0</v>
      </c>
      <c r="G187" s="2870"/>
      <c r="H187" s="2870"/>
      <c r="I187" s="2870"/>
      <c r="J187" s="2871"/>
      <c r="K187" s="2865"/>
    </row>
    <row r="188" spans="1:16" s="2864" customFormat="1" ht="15" hidden="1" customHeight="1">
      <c r="A188" s="3934"/>
      <c r="B188" s="3935"/>
      <c r="C188" s="3925"/>
      <c r="D188" s="3928"/>
      <c r="E188" s="2874">
        <v>6059</v>
      </c>
      <c r="F188" s="2870">
        <f>SUM(G188:J188)</f>
        <v>0</v>
      </c>
      <c r="G188" s="2870"/>
      <c r="H188" s="2870"/>
      <c r="I188" s="2870"/>
      <c r="J188" s="2871"/>
    </row>
    <row r="189" spans="1:16" s="2864" customFormat="1" ht="15" customHeight="1">
      <c r="A189" s="3934"/>
      <c r="B189" s="3935"/>
      <c r="C189" s="3926"/>
      <c r="D189" s="3929"/>
      <c r="E189" s="2874">
        <v>6257</v>
      </c>
      <c r="F189" s="2870">
        <f>SUM(G189:J189)</f>
        <v>206487</v>
      </c>
      <c r="G189" s="2870"/>
      <c r="H189" s="2870">
        <v>206487</v>
      </c>
      <c r="I189" s="2870"/>
      <c r="J189" s="2871"/>
    </row>
    <row r="190" spans="1:16" s="2864" customFormat="1" ht="22.5">
      <c r="A190" s="3934" t="s">
        <v>1330</v>
      </c>
      <c r="B190" s="3935" t="s">
        <v>1331</v>
      </c>
      <c r="C190" s="3924">
        <v>720</v>
      </c>
      <c r="D190" s="3927" t="s">
        <v>990</v>
      </c>
      <c r="E190" s="2861" t="s">
        <v>1304</v>
      </c>
      <c r="F190" s="2862">
        <f>SUM(F191,F196)</f>
        <v>11568888</v>
      </c>
      <c r="G190" s="2862">
        <f>SUM(G191,G196)</f>
        <v>1919212</v>
      </c>
      <c r="H190" s="2862">
        <f>SUM(H191,H196)</f>
        <v>9649676</v>
      </c>
      <c r="I190" s="2862">
        <f>SUM(I191,I196)</f>
        <v>0</v>
      </c>
      <c r="J190" s="2863">
        <f>SUM(J191,J196)</f>
        <v>0</v>
      </c>
      <c r="K190" s="2914"/>
      <c r="L190" s="2914"/>
      <c r="M190" s="2914"/>
      <c r="N190" s="2914"/>
      <c r="O190" s="2914"/>
      <c r="P190" s="2915"/>
    </row>
    <row r="191" spans="1:16" s="2864" customFormat="1" ht="15" customHeight="1">
      <c r="A191" s="3934"/>
      <c r="B191" s="3935"/>
      <c r="C191" s="3925"/>
      <c r="D191" s="3928"/>
      <c r="E191" s="2866" t="s">
        <v>1017</v>
      </c>
      <c r="F191" s="2867">
        <f>SUM(F192,F194)</f>
        <v>0</v>
      </c>
      <c r="G191" s="2867">
        <f>SUM(G192,G194)</f>
        <v>0</v>
      </c>
      <c r="H191" s="2867">
        <f>SUM(H192,H194)</f>
        <v>0</v>
      </c>
      <c r="I191" s="2867">
        <f>SUM(I192,I194)</f>
        <v>0</v>
      </c>
      <c r="J191" s="2868">
        <f>SUM(J192,J194)</f>
        <v>0</v>
      </c>
      <c r="K191" s="2865"/>
      <c r="L191" s="2865"/>
      <c r="M191" s="2865"/>
      <c r="N191" s="2865"/>
      <c r="O191" s="2865"/>
      <c r="P191" s="2865"/>
    </row>
    <row r="192" spans="1:16" s="2864" customFormat="1" ht="15" hidden="1" customHeight="1">
      <c r="A192" s="3934"/>
      <c r="B192" s="3935"/>
      <c r="C192" s="3925"/>
      <c r="D192" s="3928"/>
      <c r="E192" s="2880" t="s">
        <v>1324</v>
      </c>
      <c r="F192" s="2881">
        <f>SUM(F193:F193)</f>
        <v>0</v>
      </c>
      <c r="G192" s="2881">
        <f>SUM(G193:G193)</f>
        <v>0</v>
      </c>
      <c r="H192" s="2881">
        <f>SUM(H193:H193)</f>
        <v>0</v>
      </c>
      <c r="I192" s="2881">
        <f>SUM(I193:I193)</f>
        <v>0</v>
      </c>
      <c r="J192" s="2882">
        <f>SUM(J193:J193)</f>
        <v>0</v>
      </c>
      <c r="K192" s="2865"/>
      <c r="L192" s="2865"/>
      <c r="M192" s="2865"/>
      <c r="N192" s="2865"/>
      <c r="O192" s="2865"/>
      <c r="P192" s="2865"/>
    </row>
    <row r="193" spans="1:16" s="2864" customFormat="1" ht="15" hidden="1" customHeight="1">
      <c r="A193" s="3934"/>
      <c r="B193" s="3935"/>
      <c r="C193" s="3925"/>
      <c r="D193" s="3928"/>
      <c r="E193" s="2869" t="s">
        <v>573</v>
      </c>
      <c r="F193" s="2870">
        <f>SUM(G193:J193)</f>
        <v>0</v>
      </c>
      <c r="G193" s="2870"/>
      <c r="H193" s="2870"/>
      <c r="I193" s="2870"/>
      <c r="J193" s="2871"/>
      <c r="K193" s="2914"/>
      <c r="L193" s="2914"/>
      <c r="M193" s="2914"/>
      <c r="N193" s="2914"/>
      <c r="O193" s="2914"/>
      <c r="P193" s="2865"/>
    </row>
    <row r="194" spans="1:16" s="2864" customFormat="1" ht="22.5" hidden="1">
      <c r="A194" s="3934"/>
      <c r="B194" s="3935"/>
      <c r="C194" s="3925"/>
      <c r="D194" s="3928"/>
      <c r="E194" s="2880" t="s">
        <v>1312</v>
      </c>
      <c r="F194" s="2881">
        <f>SUM(F195:F195)</f>
        <v>0</v>
      </c>
      <c r="G194" s="2881">
        <f>SUM(G195:G195)</f>
        <v>0</v>
      </c>
      <c r="H194" s="2881">
        <f>SUM(H195:H195)</f>
        <v>0</v>
      </c>
      <c r="I194" s="2881">
        <f>SUM(I195:I195)</f>
        <v>0</v>
      </c>
      <c r="J194" s="2882">
        <f>SUM(J195:J195)</f>
        <v>0</v>
      </c>
    </row>
    <row r="195" spans="1:16" s="2864" customFormat="1" ht="15" hidden="1" customHeight="1">
      <c r="A195" s="3934"/>
      <c r="B195" s="3935"/>
      <c r="C195" s="3925"/>
      <c r="D195" s="3928"/>
      <c r="E195" s="2869" t="s">
        <v>881</v>
      </c>
      <c r="F195" s="2870">
        <f>SUM(G195:J195)</f>
        <v>0</v>
      </c>
      <c r="G195" s="2870"/>
      <c r="H195" s="2870"/>
      <c r="I195" s="2870"/>
      <c r="J195" s="2871"/>
    </row>
    <row r="196" spans="1:16" s="2864" customFormat="1" ht="15" customHeight="1">
      <c r="A196" s="3934"/>
      <c r="B196" s="3935"/>
      <c r="C196" s="3925"/>
      <c r="D196" s="3928"/>
      <c r="E196" s="2872" t="s">
        <v>1305</v>
      </c>
      <c r="F196" s="2867">
        <f>SUM(F197:F201)</f>
        <v>11568888</v>
      </c>
      <c r="G196" s="2867">
        <f>SUM(G197:G201)</f>
        <v>1919212</v>
      </c>
      <c r="H196" s="2867">
        <f>SUM(H197:H201)</f>
        <v>9649676</v>
      </c>
      <c r="I196" s="2867">
        <f>SUM(I197:I201)</f>
        <v>0</v>
      </c>
      <c r="J196" s="2868">
        <f>SUM(J197:J201)</f>
        <v>0</v>
      </c>
      <c r="K196" s="2865"/>
    </row>
    <row r="197" spans="1:16" s="2864" customFormat="1" ht="15" customHeight="1">
      <c r="A197" s="3934"/>
      <c r="B197" s="3935"/>
      <c r="C197" s="3925"/>
      <c r="D197" s="3928"/>
      <c r="E197" s="2869" t="s">
        <v>821</v>
      </c>
      <c r="F197" s="2870">
        <f>SUM(G197:J197)</f>
        <v>216328</v>
      </c>
      <c r="G197" s="2870">
        <v>216328</v>
      </c>
      <c r="H197" s="2870"/>
      <c r="I197" s="2870"/>
      <c r="J197" s="2871"/>
      <c r="K197" s="2865"/>
    </row>
    <row r="198" spans="1:16" s="2864" customFormat="1" ht="15" customHeight="1">
      <c r="A198" s="3934"/>
      <c r="B198" s="3935"/>
      <c r="C198" s="3925"/>
      <c r="D198" s="3928"/>
      <c r="E198" s="2869" t="s">
        <v>920</v>
      </c>
      <c r="F198" s="2870">
        <f>SUM(G198:J198)</f>
        <v>9649676</v>
      </c>
      <c r="G198" s="2870"/>
      <c r="H198" s="2870">
        <v>9649676</v>
      </c>
      <c r="I198" s="2870"/>
      <c r="J198" s="2871"/>
      <c r="K198" s="2865"/>
    </row>
    <row r="199" spans="1:16" s="2864" customFormat="1" ht="15" customHeight="1">
      <c r="A199" s="3934"/>
      <c r="B199" s="3935"/>
      <c r="C199" s="3925"/>
      <c r="D199" s="3928"/>
      <c r="E199" s="2874">
        <v>6059</v>
      </c>
      <c r="F199" s="2870">
        <f>SUM(G199:J199)</f>
        <v>1702884</v>
      </c>
      <c r="G199" s="2870">
        <v>1702884</v>
      </c>
      <c r="H199" s="2870"/>
      <c r="I199" s="2870"/>
      <c r="J199" s="2871"/>
    </row>
    <row r="200" spans="1:16" s="2864" customFormat="1" ht="15" hidden="1" customHeight="1">
      <c r="A200" s="3934"/>
      <c r="B200" s="3935"/>
      <c r="C200" s="3925"/>
      <c r="D200" s="3928"/>
      <c r="E200" s="2874"/>
      <c r="F200" s="2870">
        <f>SUM(G200:J200)</f>
        <v>0</v>
      </c>
      <c r="G200" s="2870"/>
      <c r="H200" s="2870"/>
      <c r="I200" s="2870"/>
      <c r="J200" s="2871"/>
    </row>
    <row r="201" spans="1:16" s="2864" customFormat="1" ht="15" hidden="1" customHeight="1">
      <c r="A201" s="3934"/>
      <c r="B201" s="3935"/>
      <c r="C201" s="3926"/>
      <c r="D201" s="3929"/>
      <c r="E201" s="2874"/>
      <c r="F201" s="2870">
        <f>SUM(G201:J201)</f>
        <v>0</v>
      </c>
      <c r="G201" s="2870"/>
      <c r="H201" s="2870"/>
      <c r="I201" s="2870"/>
      <c r="J201" s="2871"/>
    </row>
    <row r="202" spans="1:16" s="2864" customFormat="1" ht="22.5">
      <c r="A202" s="3934" t="s">
        <v>1332</v>
      </c>
      <c r="B202" s="3935" t="s">
        <v>1333</v>
      </c>
      <c r="C202" s="3936">
        <v>730</v>
      </c>
      <c r="D202" s="3939" t="s">
        <v>94</v>
      </c>
      <c r="E202" s="2861" t="s">
        <v>1304</v>
      </c>
      <c r="F202" s="2862">
        <f>SUM(F203,F220)</f>
        <v>862463</v>
      </c>
      <c r="G202" s="2862">
        <f>SUM(G203,G220)</f>
        <v>0</v>
      </c>
      <c r="H202" s="2862">
        <f>SUM(H203,H220)</f>
        <v>862463</v>
      </c>
      <c r="I202" s="2862">
        <f>SUM(I203,I220)</f>
        <v>0</v>
      </c>
      <c r="J202" s="2863">
        <f>SUM(J203,J220)</f>
        <v>0</v>
      </c>
    </row>
    <row r="203" spans="1:16" s="2864" customFormat="1" ht="21">
      <c r="A203" s="3934"/>
      <c r="B203" s="3935"/>
      <c r="C203" s="3936"/>
      <c r="D203" s="3939"/>
      <c r="E203" s="2866" t="s">
        <v>1310</v>
      </c>
      <c r="F203" s="2867">
        <f>SUM(F204,F210)</f>
        <v>750000</v>
      </c>
      <c r="G203" s="2867">
        <f>SUM(G204,G210)</f>
        <v>0</v>
      </c>
      <c r="H203" s="2867">
        <f>SUM(H204,H210)</f>
        <v>750000</v>
      </c>
      <c r="I203" s="2867">
        <f>SUM(I204,I210)</f>
        <v>0</v>
      </c>
      <c r="J203" s="2868">
        <f>SUM(J204,J210)</f>
        <v>0</v>
      </c>
    </row>
    <row r="204" spans="1:16" s="2864" customFormat="1" ht="22.5">
      <c r="A204" s="3934"/>
      <c r="B204" s="3935"/>
      <c r="C204" s="3936"/>
      <c r="D204" s="3939"/>
      <c r="E204" s="2880" t="s">
        <v>1311</v>
      </c>
      <c r="F204" s="2881">
        <f>SUM(F205:F209)</f>
        <v>95348</v>
      </c>
      <c r="G204" s="2881">
        <f t="shared" ref="G204:J204" si="18">SUM(G205:G209)</f>
        <v>0</v>
      </c>
      <c r="H204" s="2881">
        <f t="shared" si="18"/>
        <v>95348</v>
      </c>
      <c r="I204" s="2881">
        <f t="shared" si="18"/>
        <v>0</v>
      </c>
      <c r="J204" s="2882">
        <f t="shared" si="18"/>
        <v>0</v>
      </c>
    </row>
    <row r="205" spans="1:16" s="2864" customFormat="1" ht="15" customHeight="1">
      <c r="A205" s="3934"/>
      <c r="B205" s="3935"/>
      <c r="C205" s="3936"/>
      <c r="D205" s="3939"/>
      <c r="E205" s="2869" t="s">
        <v>887</v>
      </c>
      <c r="F205" s="2870">
        <f>SUM(G205:J205)</f>
        <v>38000</v>
      </c>
      <c r="G205" s="2870"/>
      <c r="H205" s="2870">
        <v>38000</v>
      </c>
      <c r="I205" s="2870"/>
      <c r="J205" s="2871"/>
    </row>
    <row r="206" spans="1:16" s="2864" customFormat="1" ht="15" customHeight="1">
      <c r="A206" s="3934"/>
      <c r="B206" s="3935"/>
      <c r="C206" s="3936"/>
      <c r="D206" s="3939"/>
      <c r="E206" s="2869" t="s">
        <v>889</v>
      </c>
      <c r="F206" s="2870">
        <f t="shared" ref="F206" si="19">SUM(G206:J206)</f>
        <v>5800</v>
      </c>
      <c r="G206" s="2870"/>
      <c r="H206" s="2870">
        <v>5800</v>
      </c>
      <c r="I206" s="2870"/>
      <c r="J206" s="2871"/>
    </row>
    <row r="207" spans="1:16" s="2864" customFormat="1" ht="15" customHeight="1">
      <c r="A207" s="3934"/>
      <c r="B207" s="3935"/>
      <c r="C207" s="3936"/>
      <c r="D207" s="3939"/>
      <c r="E207" s="2869" t="s">
        <v>890</v>
      </c>
      <c r="F207" s="2870">
        <f>SUM(G207:J207)</f>
        <v>908</v>
      </c>
      <c r="G207" s="2870"/>
      <c r="H207" s="2870">
        <v>908</v>
      </c>
      <c r="I207" s="2870"/>
      <c r="J207" s="2871"/>
    </row>
    <row r="208" spans="1:16" s="2864" customFormat="1" ht="15" customHeight="1">
      <c r="A208" s="3934"/>
      <c r="B208" s="3935"/>
      <c r="C208" s="3936"/>
      <c r="D208" s="3939"/>
      <c r="E208" s="2869" t="s">
        <v>1003</v>
      </c>
      <c r="F208" s="2870">
        <f>SUM(G208:J208)</f>
        <v>50000</v>
      </c>
      <c r="G208" s="2870"/>
      <c r="H208" s="2870">
        <v>50000</v>
      </c>
      <c r="I208" s="2870"/>
      <c r="J208" s="2871"/>
    </row>
    <row r="209" spans="1:12" s="2864" customFormat="1" ht="15" customHeight="1">
      <c r="A209" s="3934"/>
      <c r="B209" s="3935"/>
      <c r="C209" s="3936"/>
      <c r="D209" s="3939"/>
      <c r="E209" s="2869" t="s">
        <v>896</v>
      </c>
      <c r="F209" s="2870">
        <f>SUM(G209:J209)</f>
        <v>640</v>
      </c>
      <c r="G209" s="2870"/>
      <c r="H209" s="2870">
        <v>640</v>
      </c>
      <c r="I209" s="2870"/>
      <c r="J209" s="2871"/>
    </row>
    <row r="210" spans="1:12" s="2864" customFormat="1" ht="22.5">
      <c r="A210" s="3934"/>
      <c r="B210" s="3935"/>
      <c r="C210" s="3936"/>
      <c r="D210" s="3939"/>
      <c r="E210" s="2880" t="s">
        <v>1312</v>
      </c>
      <c r="F210" s="2881">
        <f>SUM(F211:F219)</f>
        <v>654652</v>
      </c>
      <c r="G210" s="2881">
        <f>SUM(G211:G219)</f>
        <v>0</v>
      </c>
      <c r="H210" s="2881">
        <f>SUM(H211:H219)</f>
        <v>654652</v>
      </c>
      <c r="I210" s="2881">
        <f>SUM(I211:I219)</f>
        <v>0</v>
      </c>
      <c r="J210" s="2882">
        <f>SUM(J211:J219)</f>
        <v>0</v>
      </c>
    </row>
    <row r="211" spans="1:12" s="2864" customFormat="1" ht="15" customHeight="1">
      <c r="A211" s="3934"/>
      <c r="B211" s="3935"/>
      <c r="C211" s="3936"/>
      <c r="D211" s="3939"/>
      <c r="E211" s="2869" t="s">
        <v>891</v>
      </c>
      <c r="F211" s="2870">
        <f t="shared" ref="F211:F214" si="20">SUM(G211:J211)</f>
        <v>100000</v>
      </c>
      <c r="G211" s="2870"/>
      <c r="H211" s="2870">
        <v>100000</v>
      </c>
      <c r="I211" s="2870"/>
      <c r="J211" s="2871"/>
    </row>
    <row r="212" spans="1:12" s="2864" customFormat="1" ht="15" customHeight="1">
      <c r="A212" s="3934"/>
      <c r="B212" s="3935"/>
      <c r="C212" s="3936"/>
      <c r="D212" s="3939"/>
      <c r="E212" s="2869" t="s">
        <v>892</v>
      </c>
      <c r="F212" s="2870">
        <f t="shared" si="20"/>
        <v>377652</v>
      </c>
      <c r="G212" s="2870"/>
      <c r="H212" s="2870">
        <v>377652</v>
      </c>
      <c r="I212" s="2870"/>
      <c r="J212" s="2871"/>
    </row>
    <row r="213" spans="1:12" s="2864" customFormat="1" ht="15" customHeight="1">
      <c r="A213" s="3934"/>
      <c r="B213" s="3935"/>
      <c r="C213" s="3936"/>
      <c r="D213" s="3939"/>
      <c r="E213" s="2869" t="s">
        <v>893</v>
      </c>
      <c r="F213" s="2870">
        <f t="shared" si="20"/>
        <v>100000</v>
      </c>
      <c r="G213" s="2870"/>
      <c r="H213" s="2870">
        <v>100000</v>
      </c>
      <c r="I213" s="2870"/>
      <c r="J213" s="2871"/>
    </row>
    <row r="214" spans="1:12" s="2864" customFormat="1" ht="15" customHeight="1">
      <c r="A214" s="3934"/>
      <c r="B214" s="3935"/>
      <c r="C214" s="3936"/>
      <c r="D214" s="3939"/>
      <c r="E214" s="2869" t="s">
        <v>894</v>
      </c>
      <c r="F214" s="2870">
        <f t="shared" si="20"/>
        <v>7000</v>
      </c>
      <c r="G214" s="2870"/>
      <c r="H214" s="2870">
        <v>7000</v>
      </c>
      <c r="I214" s="2870"/>
      <c r="J214" s="2871"/>
    </row>
    <row r="215" spans="1:12" s="2864" customFormat="1" ht="15" customHeight="1">
      <c r="A215" s="3934"/>
      <c r="B215" s="3935"/>
      <c r="C215" s="3936"/>
      <c r="D215" s="3939"/>
      <c r="E215" s="2869" t="s">
        <v>1005</v>
      </c>
      <c r="F215" s="2870">
        <f>SUM(G215:J215)</f>
        <v>40000</v>
      </c>
      <c r="G215" s="2870"/>
      <c r="H215" s="2870">
        <v>40000</v>
      </c>
      <c r="I215" s="2870"/>
      <c r="J215" s="2871"/>
      <c r="K215" s="2909"/>
      <c r="L215" s="2865"/>
    </row>
    <row r="216" spans="1:12" s="2864" customFormat="1" ht="15" customHeight="1">
      <c r="A216" s="3934"/>
      <c r="B216" s="3935"/>
      <c r="C216" s="3936"/>
      <c r="D216" s="3939"/>
      <c r="E216" s="2869" t="s">
        <v>895</v>
      </c>
      <c r="F216" s="2870">
        <f>SUM(G216:J216)</f>
        <v>30000</v>
      </c>
      <c r="G216" s="2870"/>
      <c r="H216" s="2870">
        <v>30000</v>
      </c>
      <c r="I216" s="2870"/>
      <c r="J216" s="2871"/>
    </row>
    <row r="217" spans="1:12" s="2864" customFormat="1" ht="15" hidden="1" customHeight="1">
      <c r="A217" s="3934"/>
      <c r="B217" s="3935"/>
      <c r="C217" s="3936"/>
      <c r="D217" s="3939"/>
      <c r="E217" s="2869" t="s">
        <v>881</v>
      </c>
      <c r="F217" s="2870">
        <f t="shared" ref="F217:F218" si="21">SUM(G217:J217)</f>
        <v>0</v>
      </c>
      <c r="G217" s="2870"/>
      <c r="H217" s="2870"/>
      <c r="I217" s="2870"/>
      <c r="J217" s="2871"/>
    </row>
    <row r="218" spans="1:12" s="2864" customFormat="1" ht="15" hidden="1" customHeight="1">
      <c r="A218" s="3934"/>
      <c r="B218" s="3935"/>
      <c r="C218" s="3936"/>
      <c r="D218" s="3939"/>
      <c r="E218" s="2869" t="s">
        <v>457</v>
      </c>
      <c r="F218" s="2870">
        <f t="shared" si="21"/>
        <v>0</v>
      </c>
      <c r="G218" s="2870"/>
      <c r="H218" s="2870"/>
      <c r="I218" s="2870"/>
      <c r="J218" s="2871"/>
    </row>
    <row r="219" spans="1:12" s="2864" customFormat="1" ht="15" hidden="1" customHeight="1">
      <c r="A219" s="3934"/>
      <c r="B219" s="3935"/>
      <c r="C219" s="3936"/>
      <c r="D219" s="3939"/>
      <c r="E219" s="2869" t="s">
        <v>637</v>
      </c>
      <c r="F219" s="2870">
        <f>SUM(G219:J219)</f>
        <v>0</v>
      </c>
      <c r="G219" s="2870"/>
      <c r="H219" s="2870"/>
      <c r="I219" s="2870"/>
      <c r="J219" s="2871"/>
      <c r="K219" s="2909"/>
      <c r="L219" s="2865"/>
    </row>
    <row r="220" spans="1:12" s="2864" customFormat="1" ht="15" customHeight="1">
      <c r="A220" s="3934"/>
      <c r="B220" s="3935"/>
      <c r="C220" s="3936"/>
      <c r="D220" s="3939"/>
      <c r="E220" s="2872" t="s">
        <v>1305</v>
      </c>
      <c r="F220" s="2867">
        <f>SUM(F221:F221)</f>
        <v>112463</v>
      </c>
      <c r="G220" s="2867">
        <f>SUM(G221:G221)</f>
        <v>0</v>
      </c>
      <c r="H220" s="2867">
        <f>SUM(H221:H221)</f>
        <v>112463</v>
      </c>
      <c r="I220" s="2867">
        <f>SUM(I221:I221)</f>
        <v>0</v>
      </c>
      <c r="J220" s="2868">
        <f>SUM(J221:J221)</f>
        <v>0</v>
      </c>
    </row>
    <row r="221" spans="1:12" s="2864" customFormat="1" ht="15" customHeight="1">
      <c r="A221" s="3934"/>
      <c r="B221" s="3935"/>
      <c r="C221" s="3936"/>
      <c r="D221" s="3939"/>
      <c r="E221" s="2869" t="s">
        <v>920</v>
      </c>
      <c r="F221" s="2870">
        <f>SUM(G221:J221)</f>
        <v>112463</v>
      </c>
      <c r="G221" s="2870"/>
      <c r="H221" s="2870">
        <v>112463</v>
      </c>
      <c r="I221" s="2870"/>
      <c r="J221" s="2871"/>
    </row>
    <row r="222" spans="1:12" s="2864" customFormat="1" ht="22.5">
      <c r="A222" s="3910" t="s">
        <v>1334</v>
      </c>
      <c r="B222" s="3912" t="s">
        <v>1335</v>
      </c>
      <c r="C222" s="3924">
        <v>750</v>
      </c>
      <c r="D222" s="3927" t="s">
        <v>1016</v>
      </c>
      <c r="E222" s="2861" t="s">
        <v>1304</v>
      </c>
      <c r="F222" s="2862">
        <f>SUM(F223,F232)</f>
        <v>371952</v>
      </c>
      <c r="G222" s="2862">
        <f>SUM(G223,G232)</f>
        <v>371952</v>
      </c>
      <c r="H222" s="2862">
        <f>SUM(H223,H232)</f>
        <v>0</v>
      </c>
      <c r="I222" s="2862">
        <f>SUM(I223,I232)</f>
        <v>0</v>
      </c>
      <c r="J222" s="2863">
        <f>SUM(J223,J232)</f>
        <v>0</v>
      </c>
      <c r="K222" s="2865"/>
    </row>
    <row r="223" spans="1:12" s="2864" customFormat="1" ht="15" customHeight="1">
      <c r="A223" s="3911"/>
      <c r="B223" s="3913"/>
      <c r="C223" s="3925"/>
      <c r="D223" s="3928"/>
      <c r="E223" s="2866" t="s">
        <v>1017</v>
      </c>
      <c r="F223" s="2867">
        <f>SUM(F224,F228)</f>
        <v>0</v>
      </c>
      <c r="G223" s="2867">
        <f>SUM(G224,G228)</f>
        <v>0</v>
      </c>
      <c r="H223" s="2867">
        <f>SUM(H224,H228)</f>
        <v>0</v>
      </c>
      <c r="I223" s="2867">
        <f>SUM(I224,I228)</f>
        <v>0</v>
      </c>
      <c r="J223" s="2868">
        <f>SUM(J224,J228)</f>
        <v>0</v>
      </c>
    </row>
    <row r="224" spans="1:12" s="2864" customFormat="1" ht="15" hidden="1" customHeight="1">
      <c r="A224" s="3911"/>
      <c r="B224" s="3913"/>
      <c r="C224" s="3925"/>
      <c r="D224" s="3928"/>
      <c r="E224" s="2880" t="s">
        <v>1311</v>
      </c>
      <c r="F224" s="2881">
        <f>SUM(F225:F227)</f>
        <v>0</v>
      </c>
      <c r="G224" s="2881">
        <f>SUM(G225:G227)</f>
        <v>0</v>
      </c>
      <c r="H224" s="2881">
        <f>SUM(H225:H227)</f>
        <v>0</v>
      </c>
      <c r="I224" s="2881">
        <f>SUM(I225:I227)</f>
        <v>0</v>
      </c>
      <c r="J224" s="2882">
        <f>SUM(J225:J227)</f>
        <v>0</v>
      </c>
    </row>
    <row r="225" spans="1:10" s="2864" customFormat="1" ht="15" hidden="1" customHeight="1">
      <c r="A225" s="3911"/>
      <c r="B225" s="3913"/>
      <c r="C225" s="3925"/>
      <c r="D225" s="3928"/>
      <c r="E225" s="2869"/>
      <c r="F225" s="2870">
        <f>SUM(G225:J225)</f>
        <v>0</v>
      </c>
      <c r="G225" s="2870"/>
      <c r="H225" s="2870"/>
      <c r="I225" s="2870"/>
      <c r="J225" s="2871"/>
    </row>
    <row r="226" spans="1:10" s="2864" customFormat="1" ht="15" hidden="1" customHeight="1">
      <c r="A226" s="3911"/>
      <c r="B226" s="3913"/>
      <c r="C226" s="3925"/>
      <c r="D226" s="3928"/>
      <c r="E226" s="2869"/>
      <c r="F226" s="2870">
        <f>SUM(G226:J226)</f>
        <v>0</v>
      </c>
      <c r="G226" s="2870"/>
      <c r="H226" s="2870"/>
      <c r="I226" s="2870"/>
      <c r="J226" s="2871"/>
    </row>
    <row r="227" spans="1:10" s="2864" customFormat="1" ht="15" hidden="1" customHeight="1">
      <c r="A227" s="3911"/>
      <c r="B227" s="3913"/>
      <c r="C227" s="3925"/>
      <c r="D227" s="3928"/>
      <c r="E227" s="2869"/>
      <c r="F227" s="2870">
        <f>SUM(G227:J227)</f>
        <v>0</v>
      </c>
      <c r="G227" s="2870"/>
      <c r="H227" s="2870"/>
      <c r="I227" s="2870"/>
      <c r="J227" s="2871"/>
    </row>
    <row r="228" spans="1:10" s="2864" customFormat="1" ht="15" hidden="1" customHeight="1">
      <c r="A228" s="3911"/>
      <c r="B228" s="3913"/>
      <c r="C228" s="3925"/>
      <c r="D228" s="3928"/>
      <c r="E228" s="2880" t="s">
        <v>1312</v>
      </c>
      <c r="F228" s="2881">
        <f>SUM(F229:F231)</f>
        <v>0</v>
      </c>
      <c r="G228" s="2881">
        <f>SUM(G229:G231)</f>
        <v>0</v>
      </c>
      <c r="H228" s="2881">
        <f>SUM(H229:H231)</f>
        <v>0</v>
      </c>
      <c r="I228" s="2881">
        <f>SUM(I229:I231)</f>
        <v>0</v>
      </c>
      <c r="J228" s="2882">
        <f>SUM(J229:J231)</f>
        <v>0</v>
      </c>
    </row>
    <row r="229" spans="1:10" s="2864" customFormat="1" ht="15" hidden="1" customHeight="1">
      <c r="A229" s="3911"/>
      <c r="B229" s="3913"/>
      <c r="C229" s="3925"/>
      <c r="D229" s="3928"/>
      <c r="E229" s="2869" t="s">
        <v>881</v>
      </c>
      <c r="F229" s="2870">
        <f>SUM(G229:J229)</f>
        <v>0</v>
      </c>
      <c r="G229" s="2870"/>
      <c r="H229" s="2870"/>
      <c r="I229" s="2870"/>
      <c r="J229" s="2871"/>
    </row>
    <row r="230" spans="1:10" s="2864" customFormat="1" ht="15" hidden="1" customHeight="1">
      <c r="A230" s="3911"/>
      <c r="B230" s="3913"/>
      <c r="C230" s="3925"/>
      <c r="D230" s="3928"/>
      <c r="E230" s="2869"/>
      <c r="F230" s="2870">
        <f t="shared" ref="F230:F231" si="22">SUM(G230:J230)</f>
        <v>0</v>
      </c>
      <c r="G230" s="2870"/>
      <c r="H230" s="2870"/>
      <c r="I230" s="2870"/>
      <c r="J230" s="2871"/>
    </row>
    <row r="231" spans="1:10" s="2864" customFormat="1" ht="15" hidden="1" customHeight="1">
      <c r="A231" s="3911"/>
      <c r="B231" s="3913"/>
      <c r="C231" s="3925"/>
      <c r="D231" s="3928"/>
      <c r="E231" s="2869"/>
      <c r="F231" s="2870">
        <f t="shared" si="22"/>
        <v>0</v>
      </c>
      <c r="G231" s="2870"/>
      <c r="H231" s="2870"/>
      <c r="I231" s="2870"/>
      <c r="J231" s="2871"/>
    </row>
    <row r="232" spans="1:10" s="2864" customFormat="1" ht="15" customHeight="1">
      <c r="A232" s="3911"/>
      <c r="B232" s="3913"/>
      <c r="C232" s="3925"/>
      <c r="D232" s="3928"/>
      <c r="E232" s="2872" t="s">
        <v>1305</v>
      </c>
      <c r="F232" s="2867">
        <f>SUM(F233:F235)</f>
        <v>371952</v>
      </c>
      <c r="G232" s="2867">
        <f>SUM(G233:G235)</f>
        <v>371952</v>
      </c>
      <c r="H232" s="2867">
        <f>SUM(H233:H235)</f>
        <v>0</v>
      </c>
      <c r="I232" s="2867">
        <f>SUM(I233:I235)</f>
        <v>0</v>
      </c>
      <c r="J232" s="2868">
        <f>SUM(J233:J235)</f>
        <v>0</v>
      </c>
    </row>
    <row r="233" spans="1:10" s="2864" customFormat="1" ht="15" customHeight="1">
      <c r="A233" s="3911"/>
      <c r="B233" s="3913"/>
      <c r="C233" s="3925"/>
      <c r="D233" s="3928"/>
      <c r="E233" s="2869" t="s">
        <v>821</v>
      </c>
      <c r="F233" s="2870">
        <f>SUM(G233:J233)</f>
        <v>371952</v>
      </c>
      <c r="G233" s="2870">
        <v>371952</v>
      </c>
      <c r="H233" s="2870"/>
      <c r="I233" s="2870"/>
      <c r="J233" s="2871"/>
    </row>
    <row r="234" spans="1:10" s="2864" customFormat="1" ht="15" hidden="1" customHeight="1">
      <c r="A234" s="3911"/>
      <c r="B234" s="3913"/>
      <c r="C234" s="3925"/>
      <c r="D234" s="3928"/>
      <c r="E234" s="2869" t="s">
        <v>920</v>
      </c>
      <c r="F234" s="2870">
        <f>SUM(G234:J234)</f>
        <v>0</v>
      </c>
      <c r="G234" s="2870"/>
      <c r="H234" s="2870"/>
      <c r="I234" s="2870"/>
      <c r="J234" s="2871"/>
    </row>
    <row r="235" spans="1:10" s="2864" customFormat="1" ht="15" hidden="1" customHeight="1">
      <c r="A235" s="3920"/>
      <c r="B235" s="3937"/>
      <c r="C235" s="3926"/>
      <c r="D235" s="3929"/>
      <c r="E235" s="2874">
        <v>6667</v>
      </c>
      <c r="F235" s="2870">
        <f>SUM(G235:J235)</f>
        <v>0</v>
      </c>
      <c r="G235" s="2870"/>
      <c r="H235" s="2870"/>
      <c r="I235" s="2870"/>
      <c r="J235" s="2871"/>
    </row>
    <row r="236" spans="1:10" s="2864" customFormat="1" ht="22.5">
      <c r="A236" s="3934" t="s">
        <v>1336</v>
      </c>
      <c r="B236" s="3935" t="s">
        <v>1337</v>
      </c>
      <c r="C236" s="3936">
        <v>750</v>
      </c>
      <c r="D236" s="3939" t="s">
        <v>273</v>
      </c>
      <c r="E236" s="2861" t="s">
        <v>1304</v>
      </c>
      <c r="F236" s="2862">
        <f>SUM(F237,F253)</f>
        <v>14506995</v>
      </c>
      <c r="G236" s="2862">
        <f>SUM(G237,G253)</f>
        <v>0</v>
      </c>
      <c r="H236" s="2862">
        <f>SUM(H237,H253)</f>
        <v>14506995</v>
      </c>
      <c r="I236" s="2862">
        <f>SUM(I237,I253)</f>
        <v>0</v>
      </c>
      <c r="J236" s="2863">
        <f>SUM(J237,J253)</f>
        <v>0</v>
      </c>
    </row>
    <row r="237" spans="1:10" s="2864" customFormat="1" ht="21">
      <c r="A237" s="3934"/>
      <c r="B237" s="3935"/>
      <c r="C237" s="3936"/>
      <c r="D237" s="3939"/>
      <c r="E237" s="2866" t="s">
        <v>1310</v>
      </c>
      <c r="F237" s="2867">
        <f>SUM(F238,F244)</f>
        <v>14292226</v>
      </c>
      <c r="G237" s="2867">
        <f>SUM(G238,G244)</f>
        <v>0</v>
      </c>
      <c r="H237" s="2867">
        <f>SUM(H238,H244)</f>
        <v>14292226</v>
      </c>
      <c r="I237" s="2867">
        <f>SUM(I238,I244)</f>
        <v>0</v>
      </c>
      <c r="J237" s="2868">
        <f>SUM(J238,J244)</f>
        <v>0</v>
      </c>
    </row>
    <row r="238" spans="1:10" s="2864" customFormat="1" ht="22.5">
      <c r="A238" s="3934"/>
      <c r="B238" s="3935"/>
      <c r="C238" s="3936"/>
      <c r="D238" s="3939"/>
      <c r="E238" s="2880" t="s">
        <v>1311</v>
      </c>
      <c r="F238" s="2881">
        <f>SUM(F239:F243)</f>
        <v>597044</v>
      </c>
      <c r="G238" s="2881">
        <f t="shared" ref="G238:J238" si="23">SUM(G239:G243)</f>
        <v>0</v>
      </c>
      <c r="H238" s="2881">
        <f>SUM(H239:H243)</f>
        <v>597044</v>
      </c>
      <c r="I238" s="2881">
        <f t="shared" si="23"/>
        <v>0</v>
      </c>
      <c r="J238" s="2882">
        <f t="shared" si="23"/>
        <v>0</v>
      </c>
    </row>
    <row r="239" spans="1:10" s="2864" customFormat="1" ht="15" customHeight="1">
      <c r="A239" s="3934"/>
      <c r="B239" s="3935"/>
      <c r="C239" s="3936"/>
      <c r="D239" s="3939"/>
      <c r="E239" s="2869" t="s">
        <v>887</v>
      </c>
      <c r="F239" s="2870">
        <f>SUM(G239:J239)</f>
        <v>480000</v>
      </c>
      <c r="G239" s="2870"/>
      <c r="H239" s="2870">
        <v>480000</v>
      </c>
      <c r="I239" s="2870"/>
      <c r="J239" s="2871"/>
    </row>
    <row r="240" spans="1:10" s="2864" customFormat="1" ht="15" customHeight="1">
      <c r="A240" s="3934"/>
      <c r="B240" s="3935"/>
      <c r="C240" s="3936"/>
      <c r="D240" s="3939"/>
      <c r="E240" s="2869" t="s">
        <v>889</v>
      </c>
      <c r="F240" s="2870">
        <f t="shared" ref="F240:F241" si="24">SUM(G240:J240)</f>
        <v>83424</v>
      </c>
      <c r="G240" s="2870"/>
      <c r="H240" s="2870">
        <v>83424</v>
      </c>
      <c r="I240" s="2870"/>
      <c r="J240" s="2871"/>
    </row>
    <row r="241" spans="1:10" s="2864" customFormat="1" ht="15" customHeight="1">
      <c r="A241" s="3934"/>
      <c r="B241" s="3935"/>
      <c r="C241" s="3936"/>
      <c r="D241" s="3939"/>
      <c r="E241" s="2869" t="s">
        <v>890</v>
      </c>
      <c r="F241" s="2870">
        <f t="shared" si="24"/>
        <v>11760</v>
      </c>
      <c r="G241" s="2870"/>
      <c r="H241" s="2870">
        <v>11760</v>
      </c>
      <c r="I241" s="2870"/>
      <c r="J241" s="2871"/>
    </row>
    <row r="242" spans="1:10" s="2864" customFormat="1" ht="15" customHeight="1">
      <c r="A242" s="3934"/>
      <c r="B242" s="3935"/>
      <c r="C242" s="3936"/>
      <c r="D242" s="3939"/>
      <c r="E242" s="2869" t="s">
        <v>1003</v>
      </c>
      <c r="F242" s="2870">
        <f>SUM(G242:J242)</f>
        <v>20000</v>
      </c>
      <c r="G242" s="2870"/>
      <c r="H242" s="2870">
        <v>20000</v>
      </c>
      <c r="I242" s="2870"/>
      <c r="J242" s="2871"/>
    </row>
    <row r="243" spans="1:10" s="2864" customFormat="1" ht="15" customHeight="1">
      <c r="A243" s="3934"/>
      <c r="B243" s="3935"/>
      <c r="C243" s="3936"/>
      <c r="D243" s="3939"/>
      <c r="E243" s="2869" t="s">
        <v>896</v>
      </c>
      <c r="F243" s="2870">
        <f>SUM(G243:J243)</f>
        <v>1860</v>
      </c>
      <c r="G243" s="2870"/>
      <c r="H243" s="2870">
        <v>1860</v>
      </c>
      <c r="I243" s="2870"/>
      <c r="J243" s="2871"/>
    </row>
    <row r="244" spans="1:10" s="2864" customFormat="1" ht="22.5">
      <c r="A244" s="3934"/>
      <c r="B244" s="3935"/>
      <c r="C244" s="3936"/>
      <c r="D244" s="3939"/>
      <c r="E244" s="2880" t="s">
        <v>1312</v>
      </c>
      <c r="F244" s="2881">
        <f>SUM(F245:F252)</f>
        <v>13695182</v>
      </c>
      <c r="G244" s="2881">
        <f>SUM(G245:G252)</f>
        <v>0</v>
      </c>
      <c r="H244" s="2881">
        <f>SUM(H245:H252)</f>
        <v>13695182</v>
      </c>
      <c r="I244" s="2881">
        <f>SUM(I245:I252)</f>
        <v>0</v>
      </c>
      <c r="J244" s="2882">
        <f>SUM(J245:J252)</f>
        <v>0</v>
      </c>
    </row>
    <row r="245" spans="1:10" s="2864" customFormat="1" ht="15" customHeight="1">
      <c r="A245" s="3934"/>
      <c r="B245" s="3935"/>
      <c r="C245" s="3936"/>
      <c r="D245" s="3939"/>
      <c r="E245" s="2869" t="s">
        <v>891</v>
      </c>
      <c r="F245" s="2870">
        <f>SUM(G245:J245)</f>
        <v>200000</v>
      </c>
      <c r="G245" s="2870"/>
      <c r="H245" s="2870">
        <v>200000</v>
      </c>
      <c r="I245" s="2870"/>
      <c r="J245" s="2871"/>
    </row>
    <row r="246" spans="1:10" s="2864" customFormat="1" ht="15" customHeight="1">
      <c r="A246" s="3934"/>
      <c r="B246" s="3935"/>
      <c r="C246" s="3936"/>
      <c r="D246" s="3939"/>
      <c r="E246" s="2869" t="s">
        <v>892</v>
      </c>
      <c r="F246" s="2870">
        <f t="shared" ref="F246:F252" si="25">SUM(G246:J246)</f>
        <v>12745182</v>
      </c>
      <c r="G246" s="2870"/>
      <c r="H246" s="2870">
        <v>12745182</v>
      </c>
      <c r="I246" s="2870"/>
      <c r="J246" s="2871"/>
    </row>
    <row r="247" spans="1:10" s="2864" customFormat="1" ht="15" customHeight="1">
      <c r="A247" s="3934"/>
      <c r="B247" s="3935"/>
      <c r="C247" s="3936"/>
      <c r="D247" s="3939"/>
      <c r="E247" s="2869" t="s">
        <v>1004</v>
      </c>
      <c r="F247" s="2870">
        <f t="shared" si="25"/>
        <v>150000</v>
      </c>
      <c r="G247" s="2870"/>
      <c r="H247" s="2870">
        <v>150000</v>
      </c>
      <c r="I247" s="2870"/>
      <c r="J247" s="2871"/>
    </row>
    <row r="248" spans="1:10" s="2864" customFormat="1" ht="15" customHeight="1">
      <c r="A248" s="3934"/>
      <c r="B248" s="3935"/>
      <c r="C248" s="3936"/>
      <c r="D248" s="3939"/>
      <c r="E248" s="2869" t="s">
        <v>893</v>
      </c>
      <c r="F248" s="2870">
        <f t="shared" si="25"/>
        <v>500000</v>
      </c>
      <c r="G248" s="2870"/>
      <c r="H248" s="2870">
        <v>500000</v>
      </c>
      <c r="I248" s="2870"/>
      <c r="J248" s="2871"/>
    </row>
    <row r="249" spans="1:10" s="2864" customFormat="1" ht="15" customHeight="1">
      <c r="A249" s="3934"/>
      <c r="B249" s="3935"/>
      <c r="C249" s="3936"/>
      <c r="D249" s="3939"/>
      <c r="E249" s="2869" t="s">
        <v>894</v>
      </c>
      <c r="F249" s="2870">
        <f t="shared" si="25"/>
        <v>5000</v>
      </c>
      <c r="G249" s="2870"/>
      <c r="H249" s="2870">
        <v>5000</v>
      </c>
      <c r="I249" s="2870"/>
      <c r="J249" s="2871"/>
    </row>
    <row r="250" spans="1:10" s="2864" customFormat="1" ht="15" customHeight="1">
      <c r="A250" s="3934"/>
      <c r="B250" s="3935"/>
      <c r="C250" s="3936"/>
      <c r="D250" s="3939"/>
      <c r="E250" s="2869" t="s">
        <v>1005</v>
      </c>
      <c r="F250" s="2870">
        <f t="shared" si="25"/>
        <v>80000</v>
      </c>
      <c r="G250" s="2870"/>
      <c r="H250" s="2870">
        <v>80000</v>
      </c>
      <c r="I250" s="2870"/>
      <c r="J250" s="2871"/>
    </row>
    <row r="251" spans="1:10" s="2864" customFormat="1" ht="15" customHeight="1">
      <c r="A251" s="3934"/>
      <c r="B251" s="3935"/>
      <c r="C251" s="3936"/>
      <c r="D251" s="3939"/>
      <c r="E251" s="2869" t="s">
        <v>895</v>
      </c>
      <c r="F251" s="2870">
        <f t="shared" si="25"/>
        <v>15000</v>
      </c>
      <c r="G251" s="2870"/>
      <c r="H251" s="2870">
        <v>15000</v>
      </c>
      <c r="I251" s="2870"/>
      <c r="J251" s="2871"/>
    </row>
    <row r="252" spans="1:10" s="2864" customFormat="1" ht="15" hidden="1" customHeight="1">
      <c r="A252" s="3934"/>
      <c r="B252" s="3935"/>
      <c r="C252" s="3936"/>
      <c r="D252" s="3939"/>
      <c r="E252" s="2869" t="s">
        <v>457</v>
      </c>
      <c r="F252" s="2870">
        <f t="shared" si="25"/>
        <v>0</v>
      </c>
      <c r="G252" s="2870"/>
      <c r="H252" s="2870"/>
      <c r="I252" s="2870"/>
      <c r="J252" s="2871"/>
    </row>
    <row r="253" spans="1:10" s="2864" customFormat="1" ht="15" customHeight="1">
      <c r="A253" s="3934"/>
      <c r="B253" s="3935"/>
      <c r="C253" s="3936"/>
      <c r="D253" s="3939"/>
      <c r="E253" s="2872" t="s">
        <v>1305</v>
      </c>
      <c r="F253" s="2867">
        <f>SUM(F254:F255)</f>
        <v>214769</v>
      </c>
      <c r="G253" s="2867">
        <f>SUM(G254:G255)</f>
        <v>0</v>
      </c>
      <c r="H253" s="2867">
        <f>SUM(H254:H255)</f>
        <v>214769</v>
      </c>
      <c r="I253" s="2867">
        <f>SUM(I254:I255)</f>
        <v>0</v>
      </c>
      <c r="J253" s="2868">
        <f>SUM(J254:J255)</f>
        <v>0</v>
      </c>
    </row>
    <row r="254" spans="1:10" s="2864" customFormat="1" ht="15" hidden="1" customHeight="1">
      <c r="A254" s="3934"/>
      <c r="B254" s="3935"/>
      <c r="C254" s="3936"/>
      <c r="D254" s="3939"/>
      <c r="E254" s="2869" t="s">
        <v>906</v>
      </c>
      <c r="F254" s="2870">
        <f>SUM(G254:J254)</f>
        <v>0</v>
      </c>
      <c r="G254" s="2870"/>
      <c r="H254" s="2870"/>
      <c r="I254" s="2870"/>
      <c r="J254" s="2871"/>
    </row>
    <row r="255" spans="1:10" s="2864" customFormat="1" ht="15" customHeight="1">
      <c r="A255" s="3934"/>
      <c r="B255" s="3935"/>
      <c r="C255" s="3936"/>
      <c r="D255" s="3939"/>
      <c r="E255" s="2874">
        <v>6067</v>
      </c>
      <c r="F255" s="2870">
        <f>SUM(G255:J255)</f>
        <v>214769</v>
      </c>
      <c r="G255" s="2870"/>
      <c r="H255" s="2870">
        <v>214769</v>
      </c>
      <c r="I255" s="2870"/>
      <c r="J255" s="2871"/>
    </row>
    <row r="256" spans="1:10" s="2864" customFormat="1" ht="22.5" hidden="1">
      <c r="A256" s="3940"/>
      <c r="B256" s="3943" t="s">
        <v>1338</v>
      </c>
      <c r="C256" s="3946">
        <v>851</v>
      </c>
      <c r="D256" s="3949" t="s">
        <v>48</v>
      </c>
      <c r="E256" s="2898" t="s">
        <v>1304</v>
      </c>
      <c r="F256" s="2899">
        <f>SUM(F257,F264)</f>
        <v>0</v>
      </c>
      <c r="G256" s="2899">
        <f>SUM(G257,G264)</f>
        <v>0</v>
      </c>
      <c r="H256" s="2899">
        <f>SUM(H257,H264)</f>
        <v>0</v>
      </c>
      <c r="I256" s="2899">
        <f>SUM(I257,I264)</f>
        <v>0</v>
      </c>
      <c r="J256" s="2900">
        <f>SUM(J257,J264)</f>
        <v>0</v>
      </c>
    </row>
    <row r="257" spans="1:10" s="2864" customFormat="1" ht="15" hidden="1" customHeight="1">
      <c r="A257" s="3941"/>
      <c r="B257" s="3944"/>
      <c r="C257" s="3947"/>
      <c r="D257" s="3950"/>
      <c r="E257" s="2901" t="s">
        <v>1310</v>
      </c>
      <c r="F257" s="2902">
        <f>SUM(F258,F261)</f>
        <v>0</v>
      </c>
      <c r="G257" s="2902">
        <f>SUM(G258,G261)</f>
        <v>0</v>
      </c>
      <c r="H257" s="2902">
        <f>SUM(H258,H261)</f>
        <v>0</v>
      </c>
      <c r="I257" s="2902">
        <f>SUM(I258,I261)</f>
        <v>0</v>
      </c>
      <c r="J257" s="2903">
        <f>SUM(J258,J261)</f>
        <v>0</v>
      </c>
    </row>
    <row r="258" spans="1:10" s="2864" customFormat="1" ht="15" hidden="1" customHeight="1">
      <c r="A258" s="3941"/>
      <c r="B258" s="3944"/>
      <c r="C258" s="3947"/>
      <c r="D258" s="3950"/>
      <c r="E258" s="2904" t="s">
        <v>1324</v>
      </c>
      <c r="F258" s="2905">
        <f>SUM(F259:F260)</f>
        <v>0</v>
      </c>
      <c r="G258" s="2905">
        <f t="shared" ref="G258:J258" si="26">SUM(G259:G260)</f>
        <v>0</v>
      </c>
      <c r="H258" s="2905">
        <f t="shared" si="26"/>
        <v>0</v>
      </c>
      <c r="I258" s="2905">
        <f t="shared" si="26"/>
        <v>0</v>
      </c>
      <c r="J258" s="2906">
        <f t="shared" si="26"/>
        <v>0</v>
      </c>
    </row>
    <row r="259" spans="1:10" s="2864" customFormat="1" ht="15" hidden="1" customHeight="1">
      <c r="A259" s="3941"/>
      <c r="B259" s="3944"/>
      <c r="C259" s="3947"/>
      <c r="D259" s="3950"/>
      <c r="E259" s="2895" t="s">
        <v>489</v>
      </c>
      <c r="F259" s="2896">
        <f>SUM(G259:J259)</f>
        <v>0</v>
      </c>
      <c r="G259" s="2896"/>
      <c r="H259" s="2896"/>
      <c r="I259" s="2896"/>
      <c r="J259" s="2897"/>
    </row>
    <row r="260" spans="1:10" s="2864" customFormat="1" ht="15" hidden="1" customHeight="1">
      <c r="A260" s="3941"/>
      <c r="B260" s="3944"/>
      <c r="C260" s="3947"/>
      <c r="D260" s="3950"/>
      <c r="E260" s="2895" t="s">
        <v>637</v>
      </c>
      <c r="F260" s="2896">
        <f>SUM(G260:J260)</f>
        <v>0</v>
      </c>
      <c r="G260" s="2896"/>
      <c r="H260" s="2896"/>
      <c r="I260" s="2896"/>
      <c r="J260" s="2897"/>
    </row>
    <row r="261" spans="1:10" s="2864" customFormat="1" ht="22.5" hidden="1">
      <c r="A261" s="3941"/>
      <c r="B261" s="3944"/>
      <c r="C261" s="3947"/>
      <c r="D261" s="3950"/>
      <c r="E261" s="2904" t="s">
        <v>1312</v>
      </c>
      <c r="F261" s="2905">
        <f>SUM(F262:F263)</f>
        <v>0</v>
      </c>
      <c r="G261" s="2905">
        <f>SUM(G262:G263)</f>
        <v>0</v>
      </c>
      <c r="H261" s="2905">
        <f>SUM(H262:H263)</f>
        <v>0</v>
      </c>
      <c r="I261" s="2905">
        <f>SUM(I262:I263)</f>
        <v>0</v>
      </c>
      <c r="J261" s="2906">
        <f>SUM(J262:J263)</f>
        <v>0</v>
      </c>
    </row>
    <row r="262" spans="1:10" s="2864" customFormat="1" ht="15" hidden="1" customHeight="1">
      <c r="A262" s="3941"/>
      <c r="B262" s="3944"/>
      <c r="C262" s="3947"/>
      <c r="D262" s="3950"/>
      <c r="E262" s="2895" t="s">
        <v>891</v>
      </c>
      <c r="F262" s="2896">
        <f>SUM(G262:J262)</f>
        <v>0</v>
      </c>
      <c r="G262" s="2896"/>
      <c r="H262" s="2896"/>
      <c r="I262" s="2896"/>
      <c r="J262" s="2897"/>
    </row>
    <row r="263" spans="1:10" s="2864" customFormat="1" ht="15" hidden="1" customHeight="1">
      <c r="A263" s="3941"/>
      <c r="B263" s="3944"/>
      <c r="C263" s="3947"/>
      <c r="D263" s="3950"/>
      <c r="E263" s="2895"/>
      <c r="F263" s="2896">
        <f t="shared" ref="F263" si="27">SUM(G263:J263)</f>
        <v>0</v>
      </c>
      <c r="G263" s="2896"/>
      <c r="H263" s="2896"/>
      <c r="I263" s="2896"/>
      <c r="J263" s="2897"/>
    </row>
    <row r="264" spans="1:10" s="2864" customFormat="1" ht="15" hidden="1" customHeight="1">
      <c r="A264" s="3941"/>
      <c r="B264" s="3944"/>
      <c r="C264" s="3947"/>
      <c r="D264" s="3950"/>
      <c r="E264" s="2907" t="s">
        <v>1305</v>
      </c>
      <c r="F264" s="2902">
        <f>SUM(F265:F266)</f>
        <v>0</v>
      </c>
      <c r="G264" s="2902">
        <f t="shared" ref="G264:J264" si="28">SUM(G265:G266)</f>
        <v>0</v>
      </c>
      <c r="H264" s="2902">
        <f t="shared" si="28"/>
        <v>0</v>
      </c>
      <c r="I264" s="2902">
        <f t="shared" si="28"/>
        <v>0</v>
      </c>
      <c r="J264" s="2903">
        <f t="shared" si="28"/>
        <v>0</v>
      </c>
    </row>
    <row r="265" spans="1:10" s="2864" customFormat="1" ht="15" hidden="1" customHeight="1">
      <c r="A265" s="3941"/>
      <c r="B265" s="3944"/>
      <c r="C265" s="3947"/>
      <c r="D265" s="3950"/>
      <c r="E265" s="2916">
        <v>6207</v>
      </c>
      <c r="F265" s="2896">
        <f>SUM(G265:J265)</f>
        <v>0</v>
      </c>
      <c r="G265" s="2896"/>
      <c r="H265" s="2896"/>
      <c r="I265" s="2896"/>
      <c r="J265" s="2897"/>
    </row>
    <row r="266" spans="1:10" s="2864" customFormat="1" ht="15" hidden="1" customHeight="1">
      <c r="A266" s="3942"/>
      <c r="B266" s="3945"/>
      <c r="C266" s="3948"/>
      <c r="D266" s="3951"/>
      <c r="E266" s="2916">
        <v>6697</v>
      </c>
      <c r="F266" s="2896">
        <f>SUM(G266:J266)</f>
        <v>0</v>
      </c>
      <c r="G266" s="2896"/>
      <c r="H266" s="2896"/>
      <c r="I266" s="2896"/>
      <c r="J266" s="2897"/>
    </row>
    <row r="267" spans="1:10" s="2864" customFormat="1" ht="15" hidden="1" customHeight="1">
      <c r="A267" s="3952"/>
      <c r="B267" s="3953" t="s">
        <v>1339</v>
      </c>
      <c r="C267" s="3954">
        <v>854</v>
      </c>
      <c r="D267" s="3955" t="s">
        <v>1201</v>
      </c>
      <c r="E267" s="2898" t="s">
        <v>1304</v>
      </c>
      <c r="F267" s="2899">
        <f>SUM(F268,F287)</f>
        <v>0</v>
      </c>
      <c r="G267" s="2899">
        <f>SUM(G268,G287)</f>
        <v>0</v>
      </c>
      <c r="H267" s="2899">
        <f>SUM(H268,H287)</f>
        <v>0</v>
      </c>
      <c r="I267" s="2899">
        <f>SUM(I268,I287)</f>
        <v>0</v>
      </c>
      <c r="J267" s="2900">
        <f>SUM(J268,J287)</f>
        <v>0</v>
      </c>
    </row>
    <row r="268" spans="1:10" s="2864" customFormat="1" ht="15" hidden="1" customHeight="1">
      <c r="A268" s="3952"/>
      <c r="B268" s="3953"/>
      <c r="C268" s="3954"/>
      <c r="D268" s="3955"/>
      <c r="E268" s="2901" t="s">
        <v>1310</v>
      </c>
      <c r="F268" s="2902">
        <f>SUM(F269,F276)</f>
        <v>0</v>
      </c>
      <c r="G268" s="2902">
        <f>SUM(G269,G276)</f>
        <v>0</v>
      </c>
      <c r="H268" s="2902">
        <f>SUM(H269,H276)</f>
        <v>0</v>
      </c>
      <c r="I268" s="2902">
        <f>SUM(I269,I276)</f>
        <v>0</v>
      </c>
      <c r="J268" s="2903">
        <f>SUM(J269,J276)</f>
        <v>0</v>
      </c>
    </row>
    <row r="269" spans="1:10" s="2864" customFormat="1" ht="15" hidden="1" customHeight="1">
      <c r="A269" s="3952"/>
      <c r="B269" s="3953"/>
      <c r="C269" s="3954"/>
      <c r="D269" s="3955"/>
      <c r="E269" s="2904" t="s">
        <v>1311</v>
      </c>
      <c r="F269" s="2905">
        <f>SUM(F270:F275)</f>
        <v>0</v>
      </c>
      <c r="G269" s="2905">
        <f>SUM(G270:G275)</f>
        <v>0</v>
      </c>
      <c r="H269" s="2905">
        <f>SUM(H270:H275)</f>
        <v>0</v>
      </c>
      <c r="I269" s="2905">
        <f>SUM(I270:I275)</f>
        <v>0</v>
      </c>
      <c r="J269" s="2906">
        <f>SUM(J270:J275)</f>
        <v>0</v>
      </c>
    </row>
    <row r="270" spans="1:10" s="2864" customFormat="1" ht="15" hidden="1" customHeight="1">
      <c r="A270" s="3952"/>
      <c r="B270" s="3953"/>
      <c r="C270" s="3954"/>
      <c r="D270" s="3955"/>
      <c r="E270" s="2895" t="s">
        <v>887</v>
      </c>
      <c r="F270" s="2896">
        <f>SUM(G270:J270)</f>
        <v>0</v>
      </c>
      <c r="G270" s="2896"/>
      <c r="H270" s="2896"/>
      <c r="I270" s="2896"/>
      <c r="J270" s="2897"/>
    </row>
    <row r="271" spans="1:10" s="2864" customFormat="1" ht="15" hidden="1" customHeight="1">
      <c r="A271" s="3952"/>
      <c r="B271" s="3953"/>
      <c r="C271" s="3954"/>
      <c r="D271" s="3955"/>
      <c r="E271" s="2895" t="s">
        <v>829</v>
      </c>
      <c r="F271" s="2896">
        <f t="shared" ref="F271:F273" si="29">SUM(G271:J271)</f>
        <v>0</v>
      </c>
      <c r="G271" s="2896"/>
      <c r="H271" s="2896"/>
      <c r="I271" s="2896"/>
      <c r="J271" s="2897"/>
    </row>
    <row r="272" spans="1:10" s="2864" customFormat="1" ht="15" hidden="1" customHeight="1">
      <c r="A272" s="3952"/>
      <c r="B272" s="3953"/>
      <c r="C272" s="3954"/>
      <c r="D272" s="3955"/>
      <c r="E272" s="2895" t="s">
        <v>889</v>
      </c>
      <c r="F272" s="2896">
        <f t="shared" si="29"/>
        <v>0</v>
      </c>
      <c r="G272" s="2896"/>
      <c r="H272" s="2896"/>
      <c r="I272" s="2896"/>
      <c r="J272" s="2897"/>
    </row>
    <row r="273" spans="1:10" s="2864" customFormat="1" ht="15" hidden="1" customHeight="1">
      <c r="A273" s="3952"/>
      <c r="B273" s="3953"/>
      <c r="C273" s="3954"/>
      <c r="D273" s="3955"/>
      <c r="E273" s="2895" t="s">
        <v>833</v>
      </c>
      <c r="F273" s="2896">
        <f t="shared" si="29"/>
        <v>0</v>
      </c>
      <c r="G273" s="2896"/>
      <c r="H273" s="2896"/>
      <c r="I273" s="2896"/>
      <c r="J273" s="2897"/>
    </row>
    <row r="274" spans="1:10" s="2864" customFormat="1" ht="15" hidden="1" customHeight="1">
      <c r="A274" s="3952"/>
      <c r="B274" s="3953"/>
      <c r="C274" s="3954"/>
      <c r="D274" s="3955"/>
      <c r="E274" s="2895" t="s">
        <v>890</v>
      </c>
      <c r="F274" s="2896">
        <f>SUM(G274:J274)</f>
        <v>0</v>
      </c>
      <c r="G274" s="2896"/>
      <c r="H274" s="2896"/>
      <c r="I274" s="2896"/>
      <c r="J274" s="2897"/>
    </row>
    <row r="275" spans="1:10" s="2864" customFormat="1" ht="15" hidden="1" customHeight="1">
      <c r="A275" s="3952"/>
      <c r="B275" s="3953"/>
      <c r="C275" s="3954"/>
      <c r="D275" s="3955"/>
      <c r="E275" s="2895" t="s">
        <v>835</v>
      </c>
      <c r="F275" s="2896">
        <f>SUM(G275:J275)</f>
        <v>0</v>
      </c>
      <c r="G275" s="2896"/>
      <c r="H275" s="2896"/>
      <c r="I275" s="2896"/>
      <c r="J275" s="2897"/>
    </row>
    <row r="276" spans="1:10" s="2864" customFormat="1" ht="15" hidden="1" customHeight="1">
      <c r="A276" s="3952"/>
      <c r="B276" s="3953"/>
      <c r="C276" s="3954"/>
      <c r="D276" s="3955"/>
      <c r="E276" s="2904" t="s">
        <v>1312</v>
      </c>
      <c r="F276" s="2905">
        <f>SUM(F277:F286)</f>
        <v>0</v>
      </c>
      <c r="G276" s="2905">
        <f>SUM(G277:G286)</f>
        <v>0</v>
      </c>
      <c r="H276" s="2905">
        <f>SUM(H277:H286)</f>
        <v>0</v>
      </c>
      <c r="I276" s="2905">
        <f>SUM(I277:I286)</f>
        <v>0</v>
      </c>
      <c r="J276" s="2906">
        <f>SUM(J277:J286)</f>
        <v>0</v>
      </c>
    </row>
    <row r="277" spans="1:10" s="2864" customFormat="1" ht="15" hidden="1" customHeight="1">
      <c r="A277" s="3952"/>
      <c r="B277" s="3953"/>
      <c r="C277" s="3954"/>
      <c r="D277" s="3955"/>
      <c r="E277" s="2895" t="s">
        <v>1118</v>
      </c>
      <c r="F277" s="2896">
        <f>SUM(G277:J277)</f>
        <v>0</v>
      </c>
      <c r="G277" s="2896"/>
      <c r="H277" s="2896"/>
      <c r="I277" s="2896"/>
      <c r="J277" s="2897"/>
    </row>
    <row r="278" spans="1:10" s="2864" customFormat="1" ht="15" hidden="1" customHeight="1">
      <c r="A278" s="3952"/>
      <c r="B278" s="3953"/>
      <c r="C278" s="3954"/>
      <c r="D278" s="3955"/>
      <c r="E278" s="2895" t="s">
        <v>1119</v>
      </c>
      <c r="F278" s="2896">
        <f t="shared" ref="F278:F285" si="30">SUM(G278:J278)</f>
        <v>0</v>
      </c>
      <c r="G278" s="2896"/>
      <c r="H278" s="2896"/>
      <c r="I278" s="2896"/>
      <c r="J278" s="2897"/>
    </row>
    <row r="279" spans="1:10" s="2864" customFormat="1" ht="15" hidden="1" customHeight="1">
      <c r="A279" s="3952"/>
      <c r="B279" s="3953"/>
      <c r="C279" s="3954"/>
      <c r="D279" s="3955"/>
      <c r="E279" s="2895" t="s">
        <v>891</v>
      </c>
      <c r="F279" s="2896">
        <f t="shared" si="30"/>
        <v>0</v>
      </c>
      <c r="G279" s="2896"/>
      <c r="H279" s="2896"/>
      <c r="I279" s="2896"/>
      <c r="J279" s="2897"/>
    </row>
    <row r="280" spans="1:10" s="2864" customFormat="1" ht="15" hidden="1" customHeight="1">
      <c r="A280" s="3952"/>
      <c r="B280" s="3953"/>
      <c r="C280" s="3954"/>
      <c r="D280" s="3955"/>
      <c r="E280" s="2895" t="s">
        <v>842</v>
      </c>
      <c r="F280" s="2896">
        <f t="shared" si="30"/>
        <v>0</v>
      </c>
      <c r="G280" s="2896"/>
      <c r="H280" s="2896"/>
      <c r="I280" s="2896"/>
      <c r="J280" s="2897"/>
    </row>
    <row r="281" spans="1:10" s="2864" customFormat="1" ht="15" hidden="1" customHeight="1">
      <c r="A281" s="3952"/>
      <c r="B281" s="3953"/>
      <c r="C281" s="3954"/>
      <c r="D281" s="3955"/>
      <c r="E281" s="2895" t="s">
        <v>1051</v>
      </c>
      <c r="F281" s="2896">
        <f t="shared" si="30"/>
        <v>0</v>
      </c>
      <c r="G281" s="2896"/>
      <c r="H281" s="2896"/>
      <c r="I281" s="2896"/>
      <c r="J281" s="2897"/>
    </row>
    <row r="282" spans="1:10" s="2864" customFormat="1" ht="15" hidden="1" customHeight="1">
      <c r="A282" s="3952"/>
      <c r="B282" s="3953"/>
      <c r="C282" s="3954"/>
      <c r="D282" s="3955"/>
      <c r="E282" s="2895" t="s">
        <v>1024</v>
      </c>
      <c r="F282" s="2896">
        <f t="shared" si="30"/>
        <v>0</v>
      </c>
      <c r="G282" s="2896"/>
      <c r="H282" s="2896"/>
      <c r="I282" s="2896"/>
      <c r="J282" s="2897"/>
    </row>
    <row r="283" spans="1:10" s="2864" customFormat="1" ht="15" hidden="1" customHeight="1">
      <c r="A283" s="3952"/>
      <c r="B283" s="3953"/>
      <c r="C283" s="3954"/>
      <c r="D283" s="3955"/>
      <c r="E283" s="2895" t="s">
        <v>892</v>
      </c>
      <c r="F283" s="2896">
        <f t="shared" si="30"/>
        <v>0</v>
      </c>
      <c r="G283" s="2896"/>
      <c r="H283" s="2896"/>
      <c r="I283" s="2896"/>
      <c r="J283" s="2897"/>
    </row>
    <row r="284" spans="1:10" s="2864" customFormat="1" ht="15" hidden="1" customHeight="1">
      <c r="A284" s="3952"/>
      <c r="B284" s="3953"/>
      <c r="C284" s="3954"/>
      <c r="D284" s="3955"/>
      <c r="E284" s="2895" t="s">
        <v>846</v>
      </c>
      <c r="F284" s="2896">
        <f t="shared" si="30"/>
        <v>0</v>
      </c>
      <c r="G284" s="2896"/>
      <c r="H284" s="2896"/>
      <c r="I284" s="2896"/>
      <c r="J284" s="2897"/>
    </row>
    <row r="285" spans="1:10" s="2864" customFormat="1" ht="15" hidden="1" customHeight="1">
      <c r="A285" s="3952"/>
      <c r="B285" s="3953"/>
      <c r="C285" s="3954"/>
      <c r="D285" s="3955"/>
      <c r="E285" s="2895" t="s">
        <v>1052</v>
      </c>
      <c r="F285" s="2896">
        <f t="shared" si="30"/>
        <v>0</v>
      </c>
      <c r="G285" s="2896"/>
      <c r="H285" s="2896"/>
      <c r="I285" s="2896"/>
      <c r="J285" s="2897"/>
    </row>
    <row r="286" spans="1:10" s="2864" customFormat="1" ht="15" hidden="1" customHeight="1">
      <c r="A286" s="3952"/>
      <c r="B286" s="3953"/>
      <c r="C286" s="3954"/>
      <c r="D286" s="3955"/>
      <c r="E286" s="2895" t="s">
        <v>1053</v>
      </c>
      <c r="F286" s="2896">
        <f>SUM(G286:J286)</f>
        <v>0</v>
      </c>
      <c r="G286" s="2896"/>
      <c r="H286" s="2896"/>
      <c r="I286" s="2896"/>
      <c r="J286" s="2897"/>
    </row>
    <row r="287" spans="1:10" s="2864" customFormat="1" ht="15" hidden="1" customHeight="1">
      <c r="A287" s="3952"/>
      <c r="B287" s="3953"/>
      <c r="C287" s="3954"/>
      <c r="D287" s="3955"/>
      <c r="E287" s="2907" t="s">
        <v>1305</v>
      </c>
      <c r="F287" s="2902">
        <f>SUM(F288:F289)</f>
        <v>0</v>
      </c>
      <c r="G287" s="2902">
        <f>SUM(G288:G289)</f>
        <v>0</v>
      </c>
      <c r="H287" s="2902">
        <f>SUM(H288:H289)</f>
        <v>0</v>
      </c>
      <c r="I287" s="2902">
        <f>SUM(I288:I289)</f>
        <v>0</v>
      </c>
      <c r="J287" s="2903">
        <f>SUM(J288:J289)</f>
        <v>0</v>
      </c>
    </row>
    <row r="288" spans="1:10" s="2864" customFormat="1" ht="15" hidden="1" customHeight="1">
      <c r="A288" s="2891"/>
      <c r="B288" s="2910"/>
      <c r="C288" s="2893"/>
      <c r="D288" s="2894"/>
      <c r="E288" s="2895"/>
      <c r="F288" s="2896">
        <f>SUM(G288:J288)</f>
        <v>0</v>
      </c>
      <c r="G288" s="2896"/>
      <c r="H288" s="2896"/>
      <c r="I288" s="2896"/>
      <c r="J288" s="2897"/>
    </row>
    <row r="289" spans="1:11" s="2864" customFormat="1" ht="15" hidden="1" customHeight="1">
      <c r="A289" s="2891"/>
      <c r="B289" s="2910"/>
      <c r="C289" s="2893"/>
      <c r="D289" s="2894"/>
      <c r="E289" s="2916"/>
      <c r="F289" s="2896">
        <f>SUM(G289:J289)</f>
        <v>0</v>
      </c>
      <c r="G289" s="2896"/>
      <c r="H289" s="2896"/>
      <c r="I289" s="2896"/>
      <c r="J289" s="2897"/>
    </row>
    <row r="290" spans="1:11" s="2864" customFormat="1" ht="15" hidden="1" customHeight="1">
      <c r="A290" s="3952"/>
      <c r="B290" s="3953" t="s">
        <v>1340</v>
      </c>
      <c r="C290" s="3954">
        <v>854</v>
      </c>
      <c r="D290" s="3955" t="s">
        <v>1201</v>
      </c>
      <c r="E290" s="2898" t="s">
        <v>1304</v>
      </c>
      <c r="F290" s="2899">
        <f>SUM(F291,F310)</f>
        <v>0</v>
      </c>
      <c r="G290" s="2899">
        <f>SUM(G291,G310)</f>
        <v>0</v>
      </c>
      <c r="H290" s="2899">
        <f>SUM(H291,H310)</f>
        <v>0</v>
      </c>
      <c r="I290" s="2899">
        <f>SUM(I291,I310)</f>
        <v>0</v>
      </c>
      <c r="J290" s="2900">
        <f>SUM(J291,J310)</f>
        <v>0</v>
      </c>
    </row>
    <row r="291" spans="1:11" s="2864" customFormat="1" ht="15" hidden="1" customHeight="1">
      <c r="A291" s="3952"/>
      <c r="B291" s="3953"/>
      <c r="C291" s="3954"/>
      <c r="D291" s="3955"/>
      <c r="E291" s="2901" t="s">
        <v>1310</v>
      </c>
      <c r="F291" s="2902">
        <f>SUM(F292,F299)</f>
        <v>0</v>
      </c>
      <c r="G291" s="2902">
        <f>SUM(G292,G299)</f>
        <v>0</v>
      </c>
      <c r="H291" s="2902">
        <f>SUM(H292,H299)</f>
        <v>0</v>
      </c>
      <c r="I291" s="2902">
        <f>SUM(I292,I299)</f>
        <v>0</v>
      </c>
      <c r="J291" s="2903">
        <f>SUM(J292,J299)</f>
        <v>0</v>
      </c>
    </row>
    <row r="292" spans="1:11" s="2864" customFormat="1" ht="15" hidden="1" customHeight="1">
      <c r="A292" s="3952"/>
      <c r="B292" s="3953"/>
      <c r="C292" s="3954"/>
      <c r="D292" s="3955"/>
      <c r="E292" s="2904" t="s">
        <v>1311</v>
      </c>
      <c r="F292" s="2905">
        <f>SUM(F293:F298)</f>
        <v>0</v>
      </c>
      <c r="G292" s="2905">
        <f>SUM(G293:G298)</f>
        <v>0</v>
      </c>
      <c r="H292" s="2905">
        <f>SUM(H293:H298)</f>
        <v>0</v>
      </c>
      <c r="I292" s="2905">
        <f>SUM(I293:I298)</f>
        <v>0</v>
      </c>
      <c r="J292" s="2906">
        <f>SUM(J293:J298)</f>
        <v>0</v>
      </c>
    </row>
    <row r="293" spans="1:11" s="2864" customFormat="1" ht="15" hidden="1" customHeight="1">
      <c r="A293" s="3952"/>
      <c r="B293" s="3953"/>
      <c r="C293" s="3954"/>
      <c r="D293" s="3955"/>
      <c r="E293" s="2895" t="s">
        <v>887</v>
      </c>
      <c r="F293" s="2896">
        <f>SUM(G293:J293)</f>
        <v>0</v>
      </c>
      <c r="G293" s="2896"/>
      <c r="H293" s="2896"/>
      <c r="I293" s="2896"/>
      <c r="J293" s="2897"/>
      <c r="K293" s="2865"/>
    </row>
    <row r="294" spans="1:11" s="2864" customFormat="1" ht="15" hidden="1" customHeight="1">
      <c r="A294" s="3952"/>
      <c r="B294" s="3953"/>
      <c r="C294" s="3954"/>
      <c r="D294" s="3955"/>
      <c r="E294" s="2895" t="s">
        <v>829</v>
      </c>
      <c r="F294" s="2896">
        <f t="shared" ref="F294:F296" si="31">SUM(G294:J294)</f>
        <v>0</v>
      </c>
      <c r="G294" s="2896"/>
      <c r="H294" s="2896"/>
      <c r="I294" s="2896"/>
      <c r="J294" s="2897"/>
      <c r="K294" s="2865"/>
    </row>
    <row r="295" spans="1:11" s="2864" customFormat="1" ht="15" hidden="1" customHeight="1">
      <c r="A295" s="3952"/>
      <c r="B295" s="3953"/>
      <c r="C295" s="3954"/>
      <c r="D295" s="3955"/>
      <c r="E295" s="2895" t="s">
        <v>889</v>
      </c>
      <c r="F295" s="2896">
        <f t="shared" si="31"/>
        <v>0</v>
      </c>
      <c r="G295" s="2896"/>
      <c r="H295" s="2896"/>
      <c r="I295" s="2896"/>
      <c r="J295" s="2897"/>
      <c r="K295" s="2865"/>
    </row>
    <row r="296" spans="1:11" s="2864" customFormat="1" ht="15" hidden="1" customHeight="1">
      <c r="A296" s="3952"/>
      <c r="B296" s="3953"/>
      <c r="C296" s="3954"/>
      <c r="D296" s="3955"/>
      <c r="E296" s="2895" t="s">
        <v>833</v>
      </c>
      <c r="F296" s="2896">
        <f t="shared" si="31"/>
        <v>0</v>
      </c>
      <c r="G296" s="2896"/>
      <c r="H296" s="2896"/>
      <c r="I296" s="2896"/>
      <c r="J296" s="2897"/>
      <c r="K296" s="2865"/>
    </row>
    <row r="297" spans="1:11" s="2864" customFormat="1" ht="15" hidden="1" customHeight="1">
      <c r="A297" s="3952"/>
      <c r="B297" s="3953"/>
      <c r="C297" s="3954"/>
      <c r="D297" s="3955"/>
      <c r="E297" s="2895" t="s">
        <v>890</v>
      </c>
      <c r="F297" s="2896">
        <f>SUM(G297:J297)</f>
        <v>0</v>
      </c>
      <c r="G297" s="2896"/>
      <c r="H297" s="2896"/>
      <c r="I297" s="2896"/>
      <c r="J297" s="2897"/>
      <c r="K297" s="2865"/>
    </row>
    <row r="298" spans="1:11" s="2864" customFormat="1" ht="15" hidden="1" customHeight="1">
      <c r="A298" s="3952"/>
      <c r="B298" s="3953"/>
      <c r="C298" s="3954"/>
      <c r="D298" s="3955"/>
      <c r="E298" s="2895" t="s">
        <v>835</v>
      </c>
      <c r="F298" s="2896">
        <f>SUM(G298:J298)</f>
        <v>0</v>
      </c>
      <c r="G298" s="2896"/>
      <c r="H298" s="2896"/>
      <c r="I298" s="2896"/>
      <c r="J298" s="2897"/>
      <c r="K298" s="2865"/>
    </row>
    <row r="299" spans="1:11" s="2864" customFormat="1" ht="15" hidden="1" customHeight="1">
      <c r="A299" s="3952"/>
      <c r="B299" s="3953"/>
      <c r="C299" s="3954"/>
      <c r="D299" s="3955"/>
      <c r="E299" s="2904" t="s">
        <v>1312</v>
      </c>
      <c r="F299" s="2905">
        <f>SUM(F300:F309)</f>
        <v>0</v>
      </c>
      <c r="G299" s="2905">
        <f>SUM(G300:G309)</f>
        <v>0</v>
      </c>
      <c r="H299" s="2905">
        <f>SUM(H300:H309)</f>
        <v>0</v>
      </c>
      <c r="I299" s="2905">
        <f>SUM(I300:I309)</f>
        <v>0</v>
      </c>
      <c r="J299" s="2906">
        <f>SUM(J300:J309)</f>
        <v>0</v>
      </c>
      <c r="K299" s="2865"/>
    </row>
    <row r="300" spans="1:11" s="2864" customFormat="1" ht="15" hidden="1" customHeight="1">
      <c r="A300" s="3952"/>
      <c r="B300" s="3953"/>
      <c r="C300" s="3954"/>
      <c r="D300" s="3955"/>
      <c r="E300" s="2895" t="s">
        <v>1118</v>
      </c>
      <c r="F300" s="2896">
        <f>SUM(G300:J300)</f>
        <v>0</v>
      </c>
      <c r="G300" s="2896"/>
      <c r="H300" s="2896"/>
      <c r="I300" s="2896"/>
      <c r="J300" s="2897"/>
      <c r="K300" s="2865"/>
    </row>
    <row r="301" spans="1:11" s="2864" customFormat="1" ht="15" hidden="1" customHeight="1">
      <c r="A301" s="3952"/>
      <c r="B301" s="3953"/>
      <c r="C301" s="3954"/>
      <c r="D301" s="3955"/>
      <c r="E301" s="2895" t="s">
        <v>1119</v>
      </c>
      <c r="F301" s="2896">
        <f t="shared" ref="F301:F308" si="32">SUM(G301:J301)</f>
        <v>0</v>
      </c>
      <c r="G301" s="2896"/>
      <c r="H301" s="2896"/>
      <c r="I301" s="2896"/>
      <c r="J301" s="2897"/>
      <c r="K301" s="2865"/>
    </row>
    <row r="302" spans="1:11" s="2864" customFormat="1" ht="15" hidden="1" customHeight="1">
      <c r="A302" s="3952"/>
      <c r="B302" s="3953"/>
      <c r="C302" s="3954"/>
      <c r="D302" s="3955"/>
      <c r="E302" s="2895" t="s">
        <v>891</v>
      </c>
      <c r="F302" s="2896">
        <f t="shared" si="32"/>
        <v>0</v>
      </c>
      <c r="G302" s="2896"/>
      <c r="H302" s="2896"/>
      <c r="I302" s="2896"/>
      <c r="J302" s="2897"/>
      <c r="K302" s="2865"/>
    </row>
    <row r="303" spans="1:11" s="2864" customFormat="1" ht="15" hidden="1" customHeight="1">
      <c r="A303" s="3952"/>
      <c r="B303" s="3953"/>
      <c r="C303" s="3954"/>
      <c r="D303" s="3955"/>
      <c r="E303" s="2895" t="s">
        <v>842</v>
      </c>
      <c r="F303" s="2896">
        <f t="shared" si="32"/>
        <v>0</v>
      </c>
      <c r="G303" s="2896"/>
      <c r="H303" s="2896"/>
      <c r="I303" s="2896"/>
      <c r="J303" s="2897"/>
      <c r="K303" s="2865"/>
    </row>
    <row r="304" spans="1:11" s="2864" customFormat="1" ht="15" hidden="1" customHeight="1">
      <c r="A304" s="3952"/>
      <c r="B304" s="3953"/>
      <c r="C304" s="3954"/>
      <c r="D304" s="3955"/>
      <c r="E304" s="2895" t="s">
        <v>1051</v>
      </c>
      <c r="F304" s="2896">
        <f t="shared" si="32"/>
        <v>0</v>
      </c>
      <c r="G304" s="2896"/>
      <c r="H304" s="2896"/>
      <c r="I304" s="2896"/>
      <c r="J304" s="2897"/>
      <c r="K304" s="2865"/>
    </row>
    <row r="305" spans="1:11" s="2864" customFormat="1" ht="15" hidden="1" customHeight="1">
      <c r="A305" s="3952"/>
      <c r="B305" s="3953"/>
      <c r="C305" s="3954"/>
      <c r="D305" s="3955"/>
      <c r="E305" s="2895" t="s">
        <v>1024</v>
      </c>
      <c r="F305" s="2896">
        <f t="shared" si="32"/>
        <v>0</v>
      </c>
      <c r="G305" s="2896"/>
      <c r="H305" s="2896"/>
      <c r="I305" s="2896"/>
      <c r="J305" s="2897"/>
      <c r="K305" s="2865"/>
    </row>
    <row r="306" spans="1:11" s="2864" customFormat="1" ht="15" hidden="1" customHeight="1">
      <c r="A306" s="3952"/>
      <c r="B306" s="3953"/>
      <c r="C306" s="3954"/>
      <c r="D306" s="3955"/>
      <c r="E306" s="2895" t="s">
        <v>892</v>
      </c>
      <c r="F306" s="2896">
        <f t="shared" si="32"/>
        <v>0</v>
      </c>
      <c r="G306" s="2896"/>
      <c r="H306" s="2896"/>
      <c r="I306" s="2896"/>
      <c r="J306" s="2897"/>
      <c r="K306" s="2865"/>
    </row>
    <row r="307" spans="1:11" s="2864" customFormat="1" ht="15" hidden="1" customHeight="1">
      <c r="A307" s="3952"/>
      <c r="B307" s="3953"/>
      <c r="C307" s="3954"/>
      <c r="D307" s="3955"/>
      <c r="E307" s="2895" t="s">
        <v>846</v>
      </c>
      <c r="F307" s="2896">
        <f t="shared" si="32"/>
        <v>0</v>
      </c>
      <c r="G307" s="2896"/>
      <c r="H307" s="2896"/>
      <c r="I307" s="2896"/>
      <c r="J307" s="2897"/>
      <c r="K307" s="2865"/>
    </row>
    <row r="308" spans="1:11" s="2864" customFormat="1" ht="15" hidden="1" customHeight="1">
      <c r="A308" s="3952"/>
      <c r="B308" s="3953"/>
      <c r="C308" s="3954"/>
      <c r="D308" s="3955"/>
      <c r="E308" s="2895" t="s">
        <v>1052</v>
      </c>
      <c r="F308" s="2896">
        <f t="shared" si="32"/>
        <v>0</v>
      </c>
      <c r="G308" s="2896"/>
      <c r="H308" s="2896"/>
      <c r="I308" s="2896"/>
      <c r="J308" s="2897"/>
      <c r="K308" s="2865"/>
    </row>
    <row r="309" spans="1:11" s="2864" customFormat="1" ht="15" hidden="1" customHeight="1">
      <c r="A309" s="3952"/>
      <c r="B309" s="3953"/>
      <c r="C309" s="3954"/>
      <c r="D309" s="3955"/>
      <c r="E309" s="2895" t="s">
        <v>1053</v>
      </c>
      <c r="F309" s="2896">
        <f>SUM(G309:J309)</f>
        <v>0</v>
      </c>
      <c r="G309" s="2896"/>
      <c r="H309" s="2896"/>
      <c r="I309" s="2896"/>
      <c r="J309" s="2897"/>
      <c r="K309" s="2865"/>
    </row>
    <row r="310" spans="1:11" s="2864" customFormat="1" ht="15" hidden="1" customHeight="1">
      <c r="A310" s="3952"/>
      <c r="B310" s="3953"/>
      <c r="C310" s="3954"/>
      <c r="D310" s="3955"/>
      <c r="E310" s="2907" t="s">
        <v>1305</v>
      </c>
      <c r="F310" s="2902">
        <f>SUM(F311:F312)</f>
        <v>0</v>
      </c>
      <c r="G310" s="2902">
        <f>SUM(G311:G312)</f>
        <v>0</v>
      </c>
      <c r="H310" s="2902">
        <f>SUM(H311:H312)</f>
        <v>0</v>
      </c>
      <c r="I310" s="2902">
        <f>SUM(I311:I312)</f>
        <v>0</v>
      </c>
      <c r="J310" s="2903">
        <f>SUM(J311:J312)</f>
        <v>0</v>
      </c>
    </row>
    <row r="311" spans="1:11" s="2864" customFormat="1" ht="15" hidden="1" customHeight="1">
      <c r="A311" s="2891"/>
      <c r="B311" s="2910"/>
      <c r="C311" s="2893"/>
      <c r="D311" s="2894"/>
      <c r="E311" s="2895"/>
      <c r="F311" s="2896">
        <f>SUM(G311:J311)</f>
        <v>0</v>
      </c>
      <c r="G311" s="2896"/>
      <c r="H311" s="2896"/>
      <c r="I311" s="2896"/>
      <c r="J311" s="2897"/>
    </row>
    <row r="312" spans="1:11" s="2864" customFormat="1" ht="15" hidden="1" customHeight="1">
      <c r="A312" s="2891"/>
      <c r="B312" s="2910"/>
      <c r="C312" s="2893"/>
      <c r="D312" s="2894"/>
      <c r="E312" s="2916"/>
      <c r="F312" s="2896">
        <f t="shared" ref="F312" si="33">SUM(G312:J312)</f>
        <v>0</v>
      </c>
      <c r="G312" s="2896"/>
      <c r="H312" s="2896"/>
      <c r="I312" s="2896"/>
      <c r="J312" s="2897"/>
    </row>
    <row r="313" spans="1:11" s="2864" customFormat="1" ht="22.5">
      <c r="A313" s="3934" t="s">
        <v>1341</v>
      </c>
      <c r="B313" s="3935" t="s">
        <v>1342</v>
      </c>
      <c r="C313" s="3936">
        <v>854</v>
      </c>
      <c r="D313" s="3939" t="s">
        <v>1201</v>
      </c>
      <c r="E313" s="2861" t="s">
        <v>1304</v>
      </c>
      <c r="F313" s="2862">
        <f>SUM(F314,F335)</f>
        <v>3220000</v>
      </c>
      <c r="G313" s="2862">
        <f>SUM(G314,G335)</f>
        <v>161000</v>
      </c>
      <c r="H313" s="2862">
        <f>SUM(H314,H335)</f>
        <v>2737000</v>
      </c>
      <c r="I313" s="2862">
        <f>SUM(I314,I335)</f>
        <v>322000</v>
      </c>
      <c r="J313" s="2863">
        <f>SUM(J314,J335)</f>
        <v>0</v>
      </c>
    </row>
    <row r="314" spans="1:11" s="2864" customFormat="1" ht="21">
      <c r="A314" s="3934"/>
      <c r="B314" s="3935"/>
      <c r="C314" s="3936"/>
      <c r="D314" s="3939"/>
      <c r="E314" s="2866" t="s">
        <v>1310</v>
      </c>
      <c r="F314" s="2867">
        <f>SUM(F315,F324)</f>
        <v>3220000</v>
      </c>
      <c r="G314" s="2867">
        <f>SUM(G315,G324)</f>
        <v>161000</v>
      </c>
      <c r="H314" s="2867">
        <f>SUM(H315,H324)</f>
        <v>2737000</v>
      </c>
      <c r="I314" s="2867">
        <f>SUM(I315,I324)</f>
        <v>322000</v>
      </c>
      <c r="J314" s="2868">
        <f>SUM(J315,J324)</f>
        <v>0</v>
      </c>
    </row>
    <row r="315" spans="1:11" s="2864" customFormat="1" ht="22.5">
      <c r="A315" s="3934"/>
      <c r="B315" s="3935"/>
      <c r="C315" s="3936"/>
      <c r="D315" s="3939"/>
      <c r="E315" s="2880" t="s">
        <v>1311</v>
      </c>
      <c r="F315" s="2881">
        <f>SUM(F316:F323)</f>
        <v>378000</v>
      </c>
      <c r="G315" s="2881">
        <f>SUM(G316:G323)</f>
        <v>18900</v>
      </c>
      <c r="H315" s="2881">
        <f>SUM(H316:H323)</f>
        <v>321300</v>
      </c>
      <c r="I315" s="2881">
        <f>SUM(I316:I323)</f>
        <v>37800</v>
      </c>
      <c r="J315" s="2882">
        <f>SUM(J316:J323)</f>
        <v>0</v>
      </c>
    </row>
    <row r="316" spans="1:11" s="2864" customFormat="1" ht="15" customHeight="1">
      <c r="A316" s="3934"/>
      <c r="B316" s="3935"/>
      <c r="C316" s="3936"/>
      <c r="D316" s="3939"/>
      <c r="E316" s="2869" t="s">
        <v>887</v>
      </c>
      <c r="F316" s="2870">
        <f>SUM(G316:J316)</f>
        <v>257720</v>
      </c>
      <c r="G316" s="2870"/>
      <c r="H316" s="2870">
        <v>257720</v>
      </c>
      <c r="I316" s="2870"/>
      <c r="J316" s="2871"/>
    </row>
    <row r="317" spans="1:11" s="2864" customFormat="1" ht="15" customHeight="1">
      <c r="A317" s="3934"/>
      <c r="B317" s="3935"/>
      <c r="C317" s="3936"/>
      <c r="D317" s="3939"/>
      <c r="E317" s="2869" t="s">
        <v>829</v>
      </c>
      <c r="F317" s="2870">
        <f t="shared" ref="F317:F319" si="34">SUM(G317:J317)</f>
        <v>45476</v>
      </c>
      <c r="G317" s="2870">
        <v>15158</v>
      </c>
      <c r="H317" s="2870"/>
      <c r="I317" s="2870">
        <v>30318</v>
      </c>
      <c r="J317" s="2871"/>
    </row>
    <row r="318" spans="1:11" s="2864" customFormat="1" ht="15" customHeight="1">
      <c r="A318" s="3934"/>
      <c r="B318" s="3935"/>
      <c r="C318" s="3936"/>
      <c r="D318" s="3939"/>
      <c r="E318" s="2869" t="s">
        <v>889</v>
      </c>
      <c r="F318" s="2870">
        <f t="shared" si="34"/>
        <v>55230</v>
      </c>
      <c r="G318" s="2870"/>
      <c r="H318" s="2870">
        <v>55230</v>
      </c>
      <c r="I318" s="2870"/>
      <c r="J318" s="2871"/>
    </row>
    <row r="319" spans="1:11" s="2864" customFormat="1" ht="15" customHeight="1">
      <c r="A319" s="3934"/>
      <c r="B319" s="3935"/>
      <c r="C319" s="3936"/>
      <c r="D319" s="3939"/>
      <c r="E319" s="2869" t="s">
        <v>833</v>
      </c>
      <c r="F319" s="2870">
        <f t="shared" si="34"/>
        <v>9748</v>
      </c>
      <c r="G319" s="2870">
        <v>3252</v>
      </c>
      <c r="H319" s="2870"/>
      <c r="I319" s="2870">
        <v>6496</v>
      </c>
      <c r="J319" s="2871"/>
    </row>
    <row r="320" spans="1:11" s="2864" customFormat="1" ht="15" customHeight="1">
      <c r="A320" s="3934"/>
      <c r="B320" s="3935"/>
      <c r="C320" s="3936"/>
      <c r="D320" s="3939"/>
      <c r="E320" s="2869" t="s">
        <v>890</v>
      </c>
      <c r="F320" s="2870">
        <f>SUM(G320:J320)</f>
        <v>7870</v>
      </c>
      <c r="G320" s="2870"/>
      <c r="H320" s="2870">
        <v>7870</v>
      </c>
      <c r="I320" s="2870"/>
      <c r="J320" s="2871"/>
    </row>
    <row r="321" spans="1:10" s="2864" customFormat="1" ht="15" customHeight="1">
      <c r="A321" s="3934"/>
      <c r="B321" s="3935"/>
      <c r="C321" s="3936"/>
      <c r="D321" s="3939"/>
      <c r="E321" s="2869" t="s">
        <v>835</v>
      </c>
      <c r="F321" s="2870">
        <f t="shared" ref="F321:F323" si="35">SUM(G321:J321)</f>
        <v>1390</v>
      </c>
      <c r="G321" s="2870">
        <v>462</v>
      </c>
      <c r="H321" s="2870"/>
      <c r="I321" s="2870">
        <v>928</v>
      </c>
      <c r="J321" s="2871"/>
    </row>
    <row r="322" spans="1:10" s="2864" customFormat="1" ht="15" customHeight="1">
      <c r="A322" s="3934"/>
      <c r="B322" s="3935"/>
      <c r="C322" s="3936"/>
      <c r="D322" s="3939"/>
      <c r="E322" s="2869" t="s">
        <v>896</v>
      </c>
      <c r="F322" s="2870">
        <f t="shared" si="35"/>
        <v>480</v>
      </c>
      <c r="G322" s="2870"/>
      <c r="H322" s="2870">
        <v>480</v>
      </c>
      <c r="I322" s="2870"/>
      <c r="J322" s="2871"/>
    </row>
    <row r="323" spans="1:10" s="2864" customFormat="1" ht="15" customHeight="1">
      <c r="A323" s="3934"/>
      <c r="B323" s="3935"/>
      <c r="C323" s="3936"/>
      <c r="D323" s="3939"/>
      <c r="E323" s="2869" t="s">
        <v>856</v>
      </c>
      <c r="F323" s="2870">
        <f t="shared" si="35"/>
        <v>86</v>
      </c>
      <c r="G323" s="2870">
        <v>28</v>
      </c>
      <c r="H323" s="2870"/>
      <c r="I323" s="2870">
        <v>58</v>
      </c>
      <c r="J323" s="2871"/>
    </row>
    <row r="324" spans="1:10" s="2864" customFormat="1" ht="22.5">
      <c r="A324" s="3934"/>
      <c r="B324" s="3935"/>
      <c r="C324" s="3936"/>
      <c r="D324" s="3939"/>
      <c r="E324" s="2880" t="s">
        <v>1312</v>
      </c>
      <c r="F324" s="2881">
        <f>SUM(F325:F334)</f>
        <v>2842000</v>
      </c>
      <c r="G324" s="2881">
        <f>SUM(G325:G334)</f>
        <v>142100</v>
      </c>
      <c r="H324" s="2881">
        <f>SUM(H325:H334)</f>
        <v>2415700</v>
      </c>
      <c r="I324" s="2881">
        <f>SUM(I325:I334)</f>
        <v>284200</v>
      </c>
      <c r="J324" s="2882">
        <f>SUM(J325:J334)</f>
        <v>0</v>
      </c>
    </row>
    <row r="325" spans="1:10" s="2864" customFormat="1" ht="15" customHeight="1">
      <c r="A325" s="3934"/>
      <c r="B325" s="3935"/>
      <c r="C325" s="3936"/>
      <c r="D325" s="3939"/>
      <c r="E325" s="2869" t="s">
        <v>1118</v>
      </c>
      <c r="F325" s="2870">
        <f>SUM(G325:J325)</f>
        <v>2380000</v>
      </c>
      <c r="G325" s="2870"/>
      <c r="H325" s="2870">
        <v>2380000</v>
      </c>
      <c r="I325" s="2870"/>
      <c r="J325" s="2871"/>
    </row>
    <row r="326" spans="1:10" s="2864" customFormat="1" ht="15" customHeight="1">
      <c r="A326" s="3934"/>
      <c r="B326" s="3935"/>
      <c r="C326" s="3936"/>
      <c r="D326" s="3939"/>
      <c r="E326" s="2869" t="s">
        <v>1119</v>
      </c>
      <c r="F326" s="2870">
        <f t="shared" ref="F326:F333" si="36">SUM(G326:J326)</f>
        <v>420000</v>
      </c>
      <c r="G326" s="2870">
        <v>140000</v>
      </c>
      <c r="H326" s="2870"/>
      <c r="I326" s="2870">
        <v>280000</v>
      </c>
      <c r="J326" s="2871"/>
    </row>
    <row r="327" spans="1:10" s="2864" customFormat="1" ht="15" customHeight="1">
      <c r="A327" s="3934"/>
      <c r="B327" s="3935"/>
      <c r="C327" s="3936"/>
      <c r="D327" s="3939"/>
      <c r="E327" s="2869" t="s">
        <v>891</v>
      </c>
      <c r="F327" s="2870">
        <f t="shared" si="36"/>
        <v>21420</v>
      </c>
      <c r="G327" s="2870"/>
      <c r="H327" s="2870">
        <v>21420</v>
      </c>
      <c r="I327" s="2870"/>
      <c r="J327" s="2871"/>
    </row>
    <row r="328" spans="1:10" s="2864" customFormat="1" ht="15" customHeight="1">
      <c r="A328" s="3934"/>
      <c r="B328" s="3935"/>
      <c r="C328" s="3936"/>
      <c r="D328" s="3939"/>
      <c r="E328" s="2869" t="s">
        <v>842</v>
      </c>
      <c r="F328" s="2870">
        <f t="shared" si="36"/>
        <v>3780</v>
      </c>
      <c r="G328" s="2870">
        <v>1260</v>
      </c>
      <c r="H328" s="2870"/>
      <c r="I328" s="2870">
        <v>2520</v>
      </c>
      <c r="J328" s="2871"/>
    </row>
    <row r="329" spans="1:10" s="2864" customFormat="1" ht="15" customHeight="1">
      <c r="A329" s="3934"/>
      <c r="B329" s="3935"/>
      <c r="C329" s="3936"/>
      <c r="D329" s="3939"/>
      <c r="E329" s="2869" t="s">
        <v>1051</v>
      </c>
      <c r="F329" s="2870">
        <f t="shared" si="36"/>
        <v>7140</v>
      </c>
      <c r="G329" s="2870"/>
      <c r="H329" s="2870">
        <v>7140</v>
      </c>
      <c r="I329" s="2870"/>
      <c r="J329" s="2871"/>
    </row>
    <row r="330" spans="1:10" s="2864" customFormat="1" ht="15" customHeight="1">
      <c r="A330" s="3934"/>
      <c r="B330" s="3935"/>
      <c r="C330" s="3936"/>
      <c r="D330" s="3939"/>
      <c r="E330" s="2869" t="s">
        <v>1024</v>
      </c>
      <c r="F330" s="2870">
        <f t="shared" si="36"/>
        <v>1260</v>
      </c>
      <c r="G330" s="2870">
        <v>420</v>
      </c>
      <c r="H330" s="2870"/>
      <c r="I330" s="2870">
        <v>840</v>
      </c>
      <c r="J330" s="2871"/>
    </row>
    <row r="331" spans="1:10" s="2864" customFormat="1" ht="15" customHeight="1">
      <c r="A331" s="3934"/>
      <c r="B331" s="3935"/>
      <c r="C331" s="3936"/>
      <c r="D331" s="3939"/>
      <c r="E331" s="2869" t="s">
        <v>892</v>
      </c>
      <c r="F331" s="2870">
        <f t="shared" si="36"/>
        <v>3570</v>
      </c>
      <c r="G331" s="2870"/>
      <c r="H331" s="2870">
        <v>3570</v>
      </c>
      <c r="I331" s="2870"/>
      <c r="J331" s="2871"/>
    </row>
    <row r="332" spans="1:10" s="2864" customFormat="1" ht="15" customHeight="1">
      <c r="A332" s="3934"/>
      <c r="B332" s="3935"/>
      <c r="C332" s="3936"/>
      <c r="D332" s="3939"/>
      <c r="E332" s="2869" t="s">
        <v>846</v>
      </c>
      <c r="F332" s="2870">
        <f t="shared" si="36"/>
        <v>630</v>
      </c>
      <c r="G332" s="2870">
        <v>210</v>
      </c>
      <c r="H332" s="2870"/>
      <c r="I332" s="2870">
        <v>420</v>
      </c>
      <c r="J332" s="2871"/>
    </row>
    <row r="333" spans="1:10" s="2864" customFormat="1" ht="15" customHeight="1">
      <c r="A333" s="3934"/>
      <c r="B333" s="3935"/>
      <c r="C333" s="3936"/>
      <c r="D333" s="3939"/>
      <c r="E333" s="2869" t="s">
        <v>1052</v>
      </c>
      <c r="F333" s="2870">
        <f t="shared" si="36"/>
        <v>3570</v>
      </c>
      <c r="G333" s="2870"/>
      <c r="H333" s="2870">
        <v>3570</v>
      </c>
      <c r="I333" s="2870"/>
      <c r="J333" s="2871"/>
    </row>
    <row r="334" spans="1:10" s="2864" customFormat="1" ht="15" customHeight="1">
      <c r="A334" s="3934"/>
      <c r="B334" s="3935"/>
      <c r="C334" s="3936"/>
      <c r="D334" s="3939"/>
      <c r="E334" s="2869" t="s">
        <v>1053</v>
      </c>
      <c r="F334" s="2870">
        <f>SUM(G334:J334)</f>
        <v>630</v>
      </c>
      <c r="G334" s="2870">
        <v>210</v>
      </c>
      <c r="H334" s="2870"/>
      <c r="I334" s="2870">
        <v>420</v>
      </c>
      <c r="J334" s="2871"/>
    </row>
    <row r="335" spans="1:10" s="2864" customFormat="1" ht="15" customHeight="1">
      <c r="A335" s="3934"/>
      <c r="B335" s="3935"/>
      <c r="C335" s="3936"/>
      <c r="D335" s="3939"/>
      <c r="E335" s="2872" t="s">
        <v>1305</v>
      </c>
      <c r="F335" s="2867">
        <f>SUM(F336:F337)</f>
        <v>0</v>
      </c>
      <c r="G335" s="2867">
        <f>SUM(G336:G337)</f>
        <v>0</v>
      </c>
      <c r="H335" s="2867">
        <f>SUM(H336:H337)</f>
        <v>0</v>
      </c>
      <c r="I335" s="2867">
        <f>SUM(I336:I337)</f>
        <v>0</v>
      </c>
      <c r="J335" s="2868">
        <f>SUM(J336:J337)</f>
        <v>0</v>
      </c>
    </row>
    <row r="336" spans="1:10" s="2864" customFormat="1" ht="15" hidden="1" customHeight="1">
      <c r="A336" s="2891"/>
      <c r="B336" s="2910"/>
      <c r="C336" s="2893"/>
      <c r="D336" s="2894"/>
      <c r="E336" s="2895"/>
      <c r="F336" s="2896">
        <f>SUM(G336:J336)</f>
        <v>0</v>
      </c>
      <c r="G336" s="2896"/>
      <c r="H336" s="2896"/>
      <c r="I336" s="2896"/>
      <c r="J336" s="2897"/>
    </row>
    <row r="337" spans="1:11" s="2864" customFormat="1" ht="15" hidden="1" customHeight="1">
      <c r="A337" s="2891"/>
      <c r="B337" s="2910"/>
      <c r="C337" s="2893"/>
      <c r="D337" s="2894"/>
      <c r="E337" s="2916"/>
      <c r="F337" s="2896">
        <f>SUM(G337:J337)</f>
        <v>0</v>
      </c>
      <c r="G337" s="2896"/>
      <c r="H337" s="2896"/>
      <c r="I337" s="2896"/>
      <c r="J337" s="2897"/>
    </row>
    <row r="338" spans="1:11" s="2864" customFormat="1" ht="22.5">
      <c r="A338" s="3934" t="s">
        <v>1343</v>
      </c>
      <c r="B338" s="3935" t="s">
        <v>1344</v>
      </c>
      <c r="C338" s="3936">
        <v>854</v>
      </c>
      <c r="D338" s="3939" t="s">
        <v>1201</v>
      </c>
      <c r="E338" s="2861" t="s">
        <v>1304</v>
      </c>
      <c r="F338" s="2862">
        <f>SUM(F339,F360)</f>
        <v>1932000</v>
      </c>
      <c r="G338" s="2862">
        <f>SUM(G339,G360)</f>
        <v>193200</v>
      </c>
      <c r="H338" s="2862">
        <f>SUM(H339,H360)</f>
        <v>1642200</v>
      </c>
      <c r="I338" s="2862">
        <f>SUM(I339,I360)</f>
        <v>96600</v>
      </c>
      <c r="J338" s="2863">
        <f>SUM(J339,J360)</f>
        <v>0</v>
      </c>
    </row>
    <row r="339" spans="1:11" s="2864" customFormat="1" ht="21">
      <c r="A339" s="3934"/>
      <c r="B339" s="3935"/>
      <c r="C339" s="3936"/>
      <c r="D339" s="3939"/>
      <c r="E339" s="2866" t="s">
        <v>1310</v>
      </c>
      <c r="F339" s="2867">
        <f>SUM(F340,F349)</f>
        <v>1932000</v>
      </c>
      <c r="G339" s="2867">
        <f>SUM(G340,G349)</f>
        <v>193200</v>
      </c>
      <c r="H339" s="2867">
        <f>SUM(H340,H349)</f>
        <v>1642200</v>
      </c>
      <c r="I339" s="2867">
        <f>SUM(I340,I349)</f>
        <v>96600</v>
      </c>
      <c r="J339" s="2868">
        <f>SUM(J340,J349)</f>
        <v>0</v>
      </c>
    </row>
    <row r="340" spans="1:11" s="2864" customFormat="1" ht="22.5">
      <c r="A340" s="3934"/>
      <c r="B340" s="3935"/>
      <c r="C340" s="3936"/>
      <c r="D340" s="3939"/>
      <c r="E340" s="2880" t="s">
        <v>1311</v>
      </c>
      <c r="F340" s="2881">
        <f>SUM(F341:F348)</f>
        <v>289800</v>
      </c>
      <c r="G340" s="2881">
        <f>SUM(G341:G348)</f>
        <v>28980</v>
      </c>
      <c r="H340" s="2881">
        <f>SUM(H341:H348)</f>
        <v>246328</v>
      </c>
      <c r="I340" s="2881">
        <f>SUM(I341:I348)</f>
        <v>14492</v>
      </c>
      <c r="J340" s="2882">
        <f>SUM(J341:J348)</f>
        <v>0</v>
      </c>
    </row>
    <row r="341" spans="1:11" s="2864" customFormat="1" ht="15" customHeight="1">
      <c r="A341" s="3934"/>
      <c r="B341" s="3935"/>
      <c r="C341" s="3936"/>
      <c r="D341" s="3939"/>
      <c r="E341" s="2869" t="s">
        <v>887</v>
      </c>
      <c r="F341" s="2870">
        <f>SUM(G341:J341)</f>
        <v>197584</v>
      </c>
      <c r="G341" s="2870"/>
      <c r="H341" s="2870">
        <v>197584</v>
      </c>
      <c r="I341" s="2870"/>
      <c r="J341" s="2871"/>
      <c r="K341" s="2865"/>
    </row>
    <row r="342" spans="1:11" s="2864" customFormat="1" ht="15" customHeight="1">
      <c r="A342" s="3934"/>
      <c r="B342" s="3935"/>
      <c r="C342" s="3936"/>
      <c r="D342" s="3939"/>
      <c r="E342" s="2869" t="s">
        <v>829</v>
      </c>
      <c r="F342" s="2870">
        <f t="shared" ref="F342:F344" si="37">SUM(G342:J342)</f>
        <v>34866</v>
      </c>
      <c r="G342" s="2870">
        <v>23244</v>
      </c>
      <c r="H342" s="2870"/>
      <c r="I342" s="2870">
        <v>11622</v>
      </c>
      <c r="J342" s="2871"/>
      <c r="K342" s="2865"/>
    </row>
    <row r="343" spans="1:11" s="2864" customFormat="1" ht="15" customHeight="1">
      <c r="A343" s="3934"/>
      <c r="B343" s="3935"/>
      <c r="C343" s="3936"/>
      <c r="D343" s="3939"/>
      <c r="E343" s="2869" t="s">
        <v>889</v>
      </c>
      <c r="F343" s="2870">
        <f t="shared" si="37"/>
        <v>42342</v>
      </c>
      <c r="G343" s="2870"/>
      <c r="H343" s="2870">
        <v>42342</v>
      </c>
      <c r="I343" s="2870"/>
      <c r="J343" s="2871"/>
      <c r="K343" s="2865"/>
    </row>
    <row r="344" spans="1:11" s="2864" customFormat="1" ht="15" customHeight="1">
      <c r="A344" s="3934"/>
      <c r="B344" s="3935"/>
      <c r="C344" s="3936"/>
      <c r="D344" s="3939"/>
      <c r="E344" s="2869" t="s">
        <v>833</v>
      </c>
      <c r="F344" s="2870">
        <f t="shared" si="37"/>
        <v>7474</v>
      </c>
      <c r="G344" s="2870">
        <v>4982</v>
      </c>
      <c r="H344" s="2870"/>
      <c r="I344" s="2870">
        <v>2492</v>
      </c>
      <c r="J344" s="2871"/>
      <c r="K344" s="2865"/>
    </row>
    <row r="345" spans="1:11" s="2864" customFormat="1" ht="15" customHeight="1">
      <c r="A345" s="3934"/>
      <c r="B345" s="3935"/>
      <c r="C345" s="3936"/>
      <c r="D345" s="3939"/>
      <c r="E345" s="2869" t="s">
        <v>890</v>
      </c>
      <c r="F345" s="2870">
        <f>SUM(G345:J345)</f>
        <v>6034</v>
      </c>
      <c r="G345" s="2870"/>
      <c r="H345" s="2870">
        <v>6034</v>
      </c>
      <c r="I345" s="2870"/>
      <c r="J345" s="2871"/>
      <c r="K345" s="2865"/>
    </row>
    <row r="346" spans="1:11" s="2864" customFormat="1" ht="15" customHeight="1">
      <c r="A346" s="3934"/>
      <c r="B346" s="3935"/>
      <c r="C346" s="3936"/>
      <c r="D346" s="3939"/>
      <c r="E346" s="2869" t="s">
        <v>835</v>
      </c>
      <c r="F346" s="2870">
        <f t="shared" ref="F346:F348" si="38">SUM(G346:J346)</f>
        <v>1066</v>
      </c>
      <c r="G346" s="2870">
        <v>710</v>
      </c>
      <c r="H346" s="2870"/>
      <c r="I346" s="2870">
        <v>356</v>
      </c>
      <c r="J346" s="2871"/>
      <c r="K346" s="2865"/>
    </row>
    <row r="347" spans="1:11" s="2864" customFormat="1" ht="15" customHeight="1">
      <c r="A347" s="3934"/>
      <c r="B347" s="3935"/>
      <c r="C347" s="3936"/>
      <c r="D347" s="3939"/>
      <c r="E347" s="2869" t="s">
        <v>896</v>
      </c>
      <c r="F347" s="2870">
        <f t="shared" si="38"/>
        <v>368</v>
      </c>
      <c r="G347" s="2870"/>
      <c r="H347" s="2870">
        <v>368</v>
      </c>
      <c r="I347" s="2870"/>
      <c r="J347" s="2871"/>
      <c r="K347" s="2865"/>
    </row>
    <row r="348" spans="1:11" s="2864" customFormat="1" ht="15" customHeight="1">
      <c r="A348" s="3934"/>
      <c r="B348" s="3935"/>
      <c r="C348" s="3936"/>
      <c r="D348" s="3939"/>
      <c r="E348" s="2869" t="s">
        <v>856</v>
      </c>
      <c r="F348" s="2870">
        <f t="shared" si="38"/>
        <v>66</v>
      </c>
      <c r="G348" s="2870">
        <v>44</v>
      </c>
      <c r="H348" s="2870"/>
      <c r="I348" s="2870">
        <v>22</v>
      </c>
      <c r="J348" s="2871"/>
      <c r="K348" s="2865"/>
    </row>
    <row r="349" spans="1:11" s="2864" customFormat="1" ht="22.5">
      <c r="A349" s="3934"/>
      <c r="B349" s="3935"/>
      <c r="C349" s="3936"/>
      <c r="D349" s="3939"/>
      <c r="E349" s="2880" t="s">
        <v>1312</v>
      </c>
      <c r="F349" s="2881">
        <f>SUM(F350:F359)</f>
        <v>1642200</v>
      </c>
      <c r="G349" s="2881">
        <f>SUM(G350:G359)</f>
        <v>164220</v>
      </c>
      <c r="H349" s="2881">
        <f>SUM(H350:H359)</f>
        <v>1395872</v>
      </c>
      <c r="I349" s="2881">
        <f>SUM(I350:I359)</f>
        <v>82108</v>
      </c>
      <c r="J349" s="2882">
        <f>SUM(J350:J359)</f>
        <v>0</v>
      </c>
      <c r="K349" s="2865"/>
    </row>
    <row r="350" spans="1:11" s="2864" customFormat="1" ht="15" customHeight="1">
      <c r="A350" s="3934"/>
      <c r="B350" s="3935"/>
      <c r="C350" s="3936"/>
      <c r="D350" s="3939"/>
      <c r="E350" s="2869" t="s">
        <v>1118</v>
      </c>
      <c r="F350" s="2870">
        <f>SUM(G350:J350)</f>
        <v>1368500</v>
      </c>
      <c r="G350" s="2870"/>
      <c r="H350" s="2870">
        <v>1368500</v>
      </c>
      <c r="I350" s="2870"/>
      <c r="J350" s="2871"/>
      <c r="K350" s="2865"/>
    </row>
    <row r="351" spans="1:11" s="2864" customFormat="1" ht="15" customHeight="1">
      <c r="A351" s="3934"/>
      <c r="B351" s="3935"/>
      <c r="C351" s="3936"/>
      <c r="D351" s="3939"/>
      <c r="E351" s="2869" t="s">
        <v>1119</v>
      </c>
      <c r="F351" s="2870">
        <f t="shared" ref="F351:F358" si="39">SUM(G351:J351)</f>
        <v>241500</v>
      </c>
      <c r="G351" s="2870">
        <v>161000</v>
      </c>
      <c r="H351" s="2870"/>
      <c r="I351" s="2870">
        <v>80500</v>
      </c>
      <c r="J351" s="2871"/>
      <c r="K351" s="2865"/>
    </row>
    <row r="352" spans="1:11" s="2864" customFormat="1" ht="15" customHeight="1">
      <c r="A352" s="3934"/>
      <c r="B352" s="3935"/>
      <c r="C352" s="3936"/>
      <c r="D352" s="3939"/>
      <c r="E352" s="2869" t="s">
        <v>891</v>
      </c>
      <c r="F352" s="2870">
        <f t="shared" si="39"/>
        <v>16422</v>
      </c>
      <c r="G352" s="2870"/>
      <c r="H352" s="2870">
        <v>16422</v>
      </c>
      <c r="I352" s="2870"/>
      <c r="J352" s="2871"/>
      <c r="K352" s="2865"/>
    </row>
    <row r="353" spans="1:11" s="2864" customFormat="1" ht="15" customHeight="1">
      <c r="A353" s="3934"/>
      <c r="B353" s="3935"/>
      <c r="C353" s="3936"/>
      <c r="D353" s="3939"/>
      <c r="E353" s="2869" t="s">
        <v>842</v>
      </c>
      <c r="F353" s="2870">
        <f t="shared" si="39"/>
        <v>2898</v>
      </c>
      <c r="G353" s="2870">
        <v>1932</v>
      </c>
      <c r="H353" s="2870"/>
      <c r="I353" s="2870">
        <v>966</v>
      </c>
      <c r="J353" s="2871"/>
      <c r="K353" s="2865"/>
    </row>
    <row r="354" spans="1:11" s="2864" customFormat="1" ht="15" customHeight="1">
      <c r="A354" s="3934"/>
      <c r="B354" s="3935"/>
      <c r="C354" s="3936"/>
      <c r="D354" s="3939"/>
      <c r="E354" s="2869" t="s">
        <v>1051</v>
      </c>
      <c r="F354" s="2870">
        <f t="shared" si="39"/>
        <v>5474</v>
      </c>
      <c r="G354" s="2870"/>
      <c r="H354" s="2870">
        <v>5474</v>
      </c>
      <c r="I354" s="2870"/>
      <c r="J354" s="2871"/>
      <c r="K354" s="2865"/>
    </row>
    <row r="355" spans="1:11" s="2864" customFormat="1" ht="15" customHeight="1">
      <c r="A355" s="3934"/>
      <c r="B355" s="3935"/>
      <c r="C355" s="3936"/>
      <c r="D355" s="3939"/>
      <c r="E355" s="2869" t="s">
        <v>1024</v>
      </c>
      <c r="F355" s="2870">
        <f t="shared" si="39"/>
        <v>966</v>
      </c>
      <c r="G355" s="2870">
        <v>644</v>
      </c>
      <c r="H355" s="2870"/>
      <c r="I355" s="2870">
        <v>322</v>
      </c>
      <c r="J355" s="2871"/>
      <c r="K355" s="2865"/>
    </row>
    <row r="356" spans="1:11" s="2864" customFormat="1" ht="15" customHeight="1">
      <c r="A356" s="3934"/>
      <c r="B356" s="3935"/>
      <c r="C356" s="3936"/>
      <c r="D356" s="3939"/>
      <c r="E356" s="2869" t="s">
        <v>892</v>
      </c>
      <c r="F356" s="2870">
        <f t="shared" si="39"/>
        <v>2738</v>
      </c>
      <c r="G356" s="2870"/>
      <c r="H356" s="2870">
        <v>2738</v>
      </c>
      <c r="I356" s="2870"/>
      <c r="J356" s="2871"/>
      <c r="K356" s="2865"/>
    </row>
    <row r="357" spans="1:11" s="2864" customFormat="1" ht="15" customHeight="1">
      <c r="A357" s="3934"/>
      <c r="B357" s="3935"/>
      <c r="C357" s="3936"/>
      <c r="D357" s="3939"/>
      <c r="E357" s="2869" t="s">
        <v>846</v>
      </c>
      <c r="F357" s="2870">
        <f t="shared" si="39"/>
        <v>482</v>
      </c>
      <c r="G357" s="2870">
        <v>322</v>
      </c>
      <c r="H357" s="2870"/>
      <c r="I357" s="2870">
        <v>160</v>
      </c>
      <c r="J357" s="2871"/>
      <c r="K357" s="2865"/>
    </row>
    <row r="358" spans="1:11" s="2864" customFormat="1" ht="15" customHeight="1">
      <c r="A358" s="3934"/>
      <c r="B358" s="3935"/>
      <c r="C358" s="3936"/>
      <c r="D358" s="3939"/>
      <c r="E358" s="2869" t="s">
        <v>1052</v>
      </c>
      <c r="F358" s="2870">
        <f t="shared" si="39"/>
        <v>2738</v>
      </c>
      <c r="G358" s="2870"/>
      <c r="H358" s="2870">
        <v>2738</v>
      </c>
      <c r="I358" s="2870"/>
      <c r="J358" s="2871"/>
      <c r="K358" s="2865"/>
    </row>
    <row r="359" spans="1:11" s="2864" customFormat="1" ht="15" customHeight="1">
      <c r="A359" s="3934"/>
      <c r="B359" s="3935"/>
      <c r="C359" s="3936"/>
      <c r="D359" s="3939"/>
      <c r="E359" s="2869" t="s">
        <v>1053</v>
      </c>
      <c r="F359" s="2870">
        <f>SUM(G359:J359)</f>
        <v>482</v>
      </c>
      <c r="G359" s="2870">
        <v>322</v>
      </c>
      <c r="H359" s="2870"/>
      <c r="I359" s="2870">
        <v>160</v>
      </c>
      <c r="J359" s="2871"/>
      <c r="K359" s="2865"/>
    </row>
    <row r="360" spans="1:11" s="2864" customFormat="1" ht="15" customHeight="1">
      <c r="A360" s="3934"/>
      <c r="B360" s="3935"/>
      <c r="C360" s="3936"/>
      <c r="D360" s="3939"/>
      <c r="E360" s="2872" t="s">
        <v>1305</v>
      </c>
      <c r="F360" s="2867">
        <f>SUM(F361:F362)</f>
        <v>0</v>
      </c>
      <c r="G360" s="2867">
        <f>SUM(G361:G362)</f>
        <v>0</v>
      </c>
      <c r="H360" s="2867">
        <f>SUM(H361:H362)</f>
        <v>0</v>
      </c>
      <c r="I360" s="2867">
        <f>SUM(I361:I362)</f>
        <v>0</v>
      </c>
      <c r="J360" s="2868">
        <f>SUM(J361:J362)</f>
        <v>0</v>
      </c>
    </row>
    <row r="361" spans="1:11" s="2864" customFormat="1" ht="15" hidden="1" customHeight="1">
      <c r="A361" s="2891"/>
      <c r="B361" s="2910"/>
      <c r="C361" s="2893"/>
      <c r="D361" s="2894"/>
      <c r="E361" s="2895"/>
      <c r="F361" s="2896">
        <f>SUM(G361:J361)</f>
        <v>0</v>
      </c>
      <c r="G361" s="2896"/>
      <c r="H361" s="2896"/>
      <c r="I361" s="2896"/>
      <c r="J361" s="2897"/>
    </row>
    <row r="362" spans="1:11" s="2864" customFormat="1" ht="15" hidden="1" customHeight="1">
      <c r="A362" s="2891"/>
      <c r="B362" s="2910"/>
      <c r="C362" s="2893"/>
      <c r="D362" s="2894"/>
      <c r="E362" s="2916"/>
      <c r="F362" s="2896">
        <f t="shared" ref="F362" si="40">SUM(G362:J362)</f>
        <v>0</v>
      </c>
      <c r="G362" s="2896"/>
      <c r="H362" s="2896"/>
      <c r="I362" s="2896"/>
      <c r="J362" s="2897"/>
    </row>
    <row r="363" spans="1:11" s="2864" customFormat="1" ht="22.5">
      <c r="A363" s="3934" t="s">
        <v>1345</v>
      </c>
      <c r="B363" s="3935" t="s">
        <v>1346</v>
      </c>
      <c r="C363" s="3936">
        <v>921</v>
      </c>
      <c r="D363" s="3939" t="s">
        <v>1240</v>
      </c>
      <c r="E363" s="2861" t="s">
        <v>1304</v>
      </c>
      <c r="F363" s="2862">
        <f>SUM(F364,F371)</f>
        <v>6201668</v>
      </c>
      <c r="G363" s="2862">
        <f>SUM(G364,G371)</f>
        <v>6201668</v>
      </c>
      <c r="H363" s="2862">
        <f>SUM(H364,H371)</f>
        <v>0</v>
      </c>
      <c r="I363" s="2862">
        <f>SUM(I364,I371)</f>
        <v>0</v>
      </c>
      <c r="J363" s="2863">
        <f>SUM(J364,J371)</f>
        <v>0</v>
      </c>
    </row>
    <row r="364" spans="1:11" s="2864" customFormat="1" ht="15" customHeight="1">
      <c r="A364" s="3934"/>
      <c r="B364" s="3935"/>
      <c r="C364" s="3936"/>
      <c r="D364" s="3939"/>
      <c r="E364" s="2866" t="s">
        <v>1017</v>
      </c>
      <c r="F364" s="2867">
        <f>SUM(F365,F368)</f>
        <v>0</v>
      </c>
      <c r="G364" s="2867">
        <f>SUM(G365,G368)</f>
        <v>0</v>
      </c>
      <c r="H364" s="2867">
        <f>SUM(H365,H368)</f>
        <v>0</v>
      </c>
      <c r="I364" s="2867">
        <f>SUM(I365,I368)</f>
        <v>0</v>
      </c>
      <c r="J364" s="2868">
        <f>SUM(J365,J368)</f>
        <v>0</v>
      </c>
    </row>
    <row r="365" spans="1:11" s="2864" customFormat="1" ht="22.5" hidden="1">
      <c r="A365" s="3934"/>
      <c r="B365" s="3935"/>
      <c r="C365" s="3936"/>
      <c r="D365" s="3939"/>
      <c r="E365" s="2880" t="s">
        <v>1311</v>
      </c>
      <c r="F365" s="2881">
        <f>SUM(F366:F367)</f>
        <v>0</v>
      </c>
      <c r="G365" s="2881">
        <f>SUM(G366:G367)</f>
        <v>0</v>
      </c>
      <c r="H365" s="2881">
        <f>SUM(H366:H367)</f>
        <v>0</v>
      </c>
      <c r="I365" s="2881">
        <f>SUM(I366:I367)</f>
        <v>0</v>
      </c>
      <c r="J365" s="2882">
        <f>SUM(J366:J367)</f>
        <v>0</v>
      </c>
    </row>
    <row r="366" spans="1:11" s="2864" customFormat="1" ht="15" hidden="1" customHeight="1">
      <c r="A366" s="3934"/>
      <c r="B366" s="3935"/>
      <c r="C366" s="3936"/>
      <c r="D366" s="3939"/>
      <c r="E366" s="2869"/>
      <c r="F366" s="2870">
        <f>SUM(G366:J366)</f>
        <v>0</v>
      </c>
      <c r="G366" s="2870"/>
      <c r="H366" s="2870"/>
      <c r="I366" s="2870"/>
      <c r="J366" s="2871"/>
    </row>
    <row r="367" spans="1:11" s="2864" customFormat="1" ht="15" hidden="1" customHeight="1">
      <c r="A367" s="3934"/>
      <c r="B367" s="3935"/>
      <c r="C367" s="3936"/>
      <c r="D367" s="3939"/>
      <c r="E367" s="2869"/>
      <c r="F367" s="2870">
        <f t="shared" ref="F367" si="41">SUM(G367:J367)</f>
        <v>0</v>
      </c>
      <c r="G367" s="2870"/>
      <c r="H367" s="2870"/>
      <c r="I367" s="2870"/>
      <c r="J367" s="2871"/>
    </row>
    <row r="368" spans="1:11" s="2864" customFormat="1" ht="15" hidden="1" customHeight="1">
      <c r="A368" s="3934"/>
      <c r="B368" s="3935"/>
      <c r="C368" s="3936"/>
      <c r="D368" s="3939"/>
      <c r="E368" s="2880" t="s">
        <v>1312</v>
      </c>
      <c r="F368" s="2881">
        <f>SUM(F369:F370)</f>
        <v>0</v>
      </c>
      <c r="G368" s="2881">
        <f>SUM(G369:G370)</f>
        <v>0</v>
      </c>
      <c r="H368" s="2881">
        <f>SUM(H369:H370)</f>
        <v>0</v>
      </c>
      <c r="I368" s="2881">
        <f>SUM(I369:I370)</f>
        <v>0</v>
      </c>
      <c r="J368" s="2882">
        <f>SUM(J369:J370)</f>
        <v>0</v>
      </c>
    </row>
    <row r="369" spans="1:17" s="2864" customFormat="1" ht="15" hidden="1" customHeight="1">
      <c r="A369" s="3934"/>
      <c r="B369" s="3935"/>
      <c r="C369" s="3936"/>
      <c r="D369" s="3939"/>
      <c r="E369" s="2869"/>
      <c r="F369" s="2870">
        <f>SUM(G369:J369)</f>
        <v>0</v>
      </c>
      <c r="G369" s="2870"/>
      <c r="H369" s="2870"/>
      <c r="I369" s="2870"/>
      <c r="J369" s="2871"/>
    </row>
    <row r="370" spans="1:17" s="2864" customFormat="1" ht="15" hidden="1" customHeight="1">
      <c r="A370" s="3934"/>
      <c r="B370" s="3935"/>
      <c r="C370" s="3936"/>
      <c r="D370" s="3939"/>
      <c r="E370" s="2869"/>
      <c r="F370" s="2870">
        <f t="shared" ref="F370" si="42">SUM(G370:J370)</f>
        <v>0</v>
      </c>
      <c r="G370" s="2870">
        <f>140000-140000</f>
        <v>0</v>
      </c>
      <c r="H370" s="2870"/>
      <c r="I370" s="2870"/>
      <c r="J370" s="2871"/>
    </row>
    <row r="371" spans="1:17" s="2864" customFormat="1" ht="15" customHeight="1">
      <c r="A371" s="3934"/>
      <c r="B371" s="3935"/>
      <c r="C371" s="3936"/>
      <c r="D371" s="3939"/>
      <c r="E371" s="2872" t="s">
        <v>1305</v>
      </c>
      <c r="F371" s="2867">
        <f>SUM(F372:F373)</f>
        <v>6201668</v>
      </c>
      <c r="G371" s="2867">
        <f>SUM(G372:G373)</f>
        <v>6201668</v>
      </c>
      <c r="H371" s="2867">
        <f>SUM(H372:H373)</f>
        <v>0</v>
      </c>
      <c r="I371" s="2867">
        <f>SUM(I372:I373)</f>
        <v>0</v>
      </c>
      <c r="J371" s="2868">
        <f>SUM(J372:J373)</f>
        <v>0</v>
      </c>
    </row>
    <row r="372" spans="1:17" s="2864" customFormat="1" ht="15" customHeight="1">
      <c r="A372" s="3934"/>
      <c r="B372" s="3935"/>
      <c r="C372" s="3936"/>
      <c r="D372" s="3939"/>
      <c r="E372" s="2869" t="s">
        <v>1006</v>
      </c>
      <c r="F372" s="2870">
        <f>SUM(G372:J372)</f>
        <v>726200</v>
      </c>
      <c r="G372" s="2870">
        <v>726200</v>
      </c>
      <c r="H372" s="2870"/>
      <c r="I372" s="2870"/>
      <c r="J372" s="2871"/>
    </row>
    <row r="373" spans="1:17" s="2864" customFormat="1" ht="15" customHeight="1">
      <c r="A373" s="3934"/>
      <c r="B373" s="3935"/>
      <c r="C373" s="3936"/>
      <c r="D373" s="3939"/>
      <c r="E373" s="2874">
        <v>6229</v>
      </c>
      <c r="F373" s="2870">
        <f t="shared" ref="F373" si="43">SUM(G373:J373)</f>
        <v>5475468</v>
      </c>
      <c r="G373" s="2870">
        <v>5475468</v>
      </c>
      <c r="H373" s="2870"/>
      <c r="I373" s="2870"/>
      <c r="J373" s="2871"/>
    </row>
    <row r="374" spans="1:17" s="2864" customFormat="1" ht="22.5">
      <c r="A374" s="3934" t="s">
        <v>1347</v>
      </c>
      <c r="B374" s="3935" t="s">
        <v>1348</v>
      </c>
      <c r="C374" s="3939" t="s">
        <v>6</v>
      </c>
      <c r="D374" s="3939" t="s">
        <v>346</v>
      </c>
      <c r="E374" s="2861" t="s">
        <v>1304</v>
      </c>
      <c r="F374" s="2862">
        <f>SUM(F375,F414)</f>
        <v>9000000</v>
      </c>
      <c r="G374" s="2862">
        <f>SUM(G375,G414)</f>
        <v>0</v>
      </c>
      <c r="H374" s="2862">
        <f>SUM(H375,H414)</f>
        <v>0</v>
      </c>
      <c r="I374" s="2862">
        <f>SUM(I375,I414)</f>
        <v>9000000</v>
      </c>
      <c r="J374" s="2863">
        <f>SUM(J375,J414)</f>
        <v>0</v>
      </c>
    </row>
    <row r="375" spans="1:17" s="2864" customFormat="1" ht="21">
      <c r="A375" s="3934"/>
      <c r="B375" s="3935"/>
      <c r="C375" s="3939"/>
      <c r="D375" s="3939"/>
      <c r="E375" s="2866" t="s">
        <v>1310</v>
      </c>
      <c r="F375" s="2867">
        <f>SUM(F376,F381,F394)</f>
        <v>9000000</v>
      </c>
      <c r="G375" s="2867">
        <f t="shared" ref="G375:J375" si="44">SUM(G376,G381,G394)</f>
        <v>0</v>
      </c>
      <c r="H375" s="2867">
        <f t="shared" si="44"/>
        <v>0</v>
      </c>
      <c r="I375" s="2867">
        <f t="shared" si="44"/>
        <v>9000000</v>
      </c>
      <c r="J375" s="2868">
        <f t="shared" si="44"/>
        <v>0</v>
      </c>
      <c r="K375" s="2865"/>
    </row>
    <row r="376" spans="1:17" s="2864" customFormat="1" ht="15" hidden="1" customHeight="1">
      <c r="A376" s="3934"/>
      <c r="B376" s="3935"/>
      <c r="C376" s="3939"/>
      <c r="D376" s="3939"/>
      <c r="E376" s="2880" t="s">
        <v>1324</v>
      </c>
      <c r="F376" s="2881">
        <f>SUM(F377:F380)</f>
        <v>0</v>
      </c>
      <c r="G376" s="2881">
        <f t="shared" ref="G376:J376" si="45">SUM(G377:G380)</f>
        <v>0</v>
      </c>
      <c r="H376" s="2881">
        <f t="shared" si="45"/>
        <v>0</v>
      </c>
      <c r="I376" s="2881">
        <f t="shared" si="45"/>
        <v>0</v>
      </c>
      <c r="J376" s="2882">
        <f t="shared" si="45"/>
        <v>0</v>
      </c>
    </row>
    <row r="377" spans="1:17" s="2864" customFormat="1" ht="15" hidden="1" customHeight="1">
      <c r="A377" s="3934"/>
      <c r="B377" s="3935"/>
      <c r="C377" s="3939"/>
      <c r="D377" s="3939"/>
      <c r="E377" s="2869" t="s">
        <v>484</v>
      </c>
      <c r="F377" s="2870">
        <f t="shared" ref="F377:F380" si="46">SUM(G377:J377)</f>
        <v>0</v>
      </c>
      <c r="G377" s="2870"/>
      <c r="H377" s="2870"/>
      <c r="I377" s="2870"/>
      <c r="J377" s="2871"/>
    </row>
    <row r="378" spans="1:17" s="2864" customFormat="1" ht="15" hidden="1" customHeight="1">
      <c r="A378" s="3934"/>
      <c r="B378" s="3935"/>
      <c r="C378" s="3939"/>
      <c r="D378" s="3939"/>
      <c r="E378" s="2869" t="s">
        <v>649</v>
      </c>
      <c r="F378" s="2870">
        <f t="shared" si="46"/>
        <v>0</v>
      </c>
      <c r="G378" s="2870"/>
      <c r="H378" s="2870"/>
      <c r="I378" s="2870"/>
      <c r="J378" s="2871"/>
    </row>
    <row r="379" spans="1:17" s="2864" customFormat="1" ht="15" hidden="1" customHeight="1">
      <c r="A379" s="3934"/>
      <c r="B379" s="3935"/>
      <c r="C379" s="3939"/>
      <c r="D379" s="3939"/>
      <c r="E379" s="2869" t="s">
        <v>474</v>
      </c>
      <c r="F379" s="2870">
        <f t="shared" si="46"/>
        <v>0</v>
      </c>
      <c r="G379" s="2870"/>
      <c r="H379" s="2870"/>
      <c r="I379" s="2870"/>
      <c r="J379" s="2871"/>
    </row>
    <row r="380" spans="1:17" s="2864" customFormat="1" ht="15" hidden="1" customHeight="1">
      <c r="A380" s="3934"/>
      <c r="B380" s="3935"/>
      <c r="C380" s="3939"/>
      <c r="D380" s="3939"/>
      <c r="E380" s="2869" t="s">
        <v>486</v>
      </c>
      <c r="F380" s="2870">
        <f t="shared" si="46"/>
        <v>0</v>
      </c>
      <c r="G380" s="2870"/>
      <c r="H380" s="2870"/>
      <c r="I380" s="2870"/>
      <c r="J380" s="2871"/>
    </row>
    <row r="381" spans="1:17" s="2879" customFormat="1" ht="22.5">
      <c r="A381" s="3934"/>
      <c r="B381" s="3935"/>
      <c r="C381" s="3939"/>
      <c r="D381" s="3939"/>
      <c r="E381" s="2880" t="s">
        <v>1311</v>
      </c>
      <c r="F381" s="2881">
        <f>SUM(F382:F393)</f>
        <v>5960000</v>
      </c>
      <c r="G381" s="2881">
        <f t="shared" ref="G381:J381" si="47">SUM(G382:G393)</f>
        <v>0</v>
      </c>
      <c r="H381" s="2881">
        <f t="shared" si="47"/>
        <v>0</v>
      </c>
      <c r="I381" s="2881">
        <f t="shared" si="47"/>
        <v>5960000</v>
      </c>
      <c r="J381" s="2882">
        <f t="shared" si="47"/>
        <v>0</v>
      </c>
      <c r="K381" s="2864"/>
      <c r="L381" s="2864"/>
      <c r="M381" s="2864"/>
      <c r="N381" s="2864"/>
      <c r="O381" s="2864"/>
      <c r="P381" s="2864"/>
      <c r="Q381" s="2864"/>
    </row>
    <row r="382" spans="1:17" s="2879" customFormat="1" ht="15" customHeight="1">
      <c r="A382" s="3934"/>
      <c r="B382" s="3935"/>
      <c r="C382" s="3939"/>
      <c r="D382" s="3939"/>
      <c r="E382" s="2869" t="s">
        <v>828</v>
      </c>
      <c r="F382" s="2870">
        <f t="shared" ref="F382:F393" si="48">SUM(G382:J382)</f>
        <v>2926980</v>
      </c>
      <c r="G382" s="2870"/>
      <c r="H382" s="2870"/>
      <c r="I382" s="2870">
        <v>2926980</v>
      </c>
      <c r="J382" s="2871"/>
      <c r="K382" s="2865"/>
      <c r="L382" s="2864"/>
      <c r="M382" s="2864"/>
      <c r="N382" s="2864"/>
      <c r="O382" s="2864"/>
      <c r="P382" s="2864"/>
      <c r="Q382" s="2864"/>
    </row>
    <row r="383" spans="1:17" s="2879" customFormat="1" ht="15" customHeight="1">
      <c r="A383" s="3934"/>
      <c r="B383" s="3935"/>
      <c r="C383" s="3939"/>
      <c r="D383" s="3939"/>
      <c r="E383" s="2869" t="s">
        <v>829</v>
      </c>
      <c r="F383" s="2870">
        <f t="shared" si="48"/>
        <v>1673020</v>
      </c>
      <c r="G383" s="2870"/>
      <c r="H383" s="2870"/>
      <c r="I383" s="2870">
        <v>1673020</v>
      </c>
      <c r="J383" s="2871"/>
      <c r="K383" s="2865"/>
      <c r="L383" s="2864"/>
      <c r="M383" s="2864"/>
      <c r="N383" s="2864"/>
      <c r="O383" s="2864"/>
      <c r="P383" s="2864"/>
      <c r="Q383" s="2864"/>
    </row>
    <row r="384" spans="1:17" s="2879" customFormat="1" ht="15" customHeight="1">
      <c r="A384" s="3934"/>
      <c r="B384" s="3935"/>
      <c r="C384" s="3939"/>
      <c r="D384" s="3939"/>
      <c r="E384" s="2869" t="s">
        <v>830</v>
      </c>
      <c r="F384" s="2870">
        <f t="shared" si="48"/>
        <v>222006</v>
      </c>
      <c r="G384" s="2870"/>
      <c r="H384" s="2870"/>
      <c r="I384" s="2870">
        <v>222006</v>
      </c>
      <c r="J384" s="2871"/>
      <c r="K384" s="2914"/>
      <c r="L384" s="2864"/>
      <c r="M384" s="2864"/>
      <c r="N384" s="2864"/>
      <c r="O384" s="2864"/>
      <c r="P384" s="2864"/>
      <c r="Q384" s="2864"/>
    </row>
    <row r="385" spans="1:17" s="2879" customFormat="1" ht="15" customHeight="1">
      <c r="A385" s="3934"/>
      <c r="B385" s="3935"/>
      <c r="C385" s="3939"/>
      <c r="D385" s="3939"/>
      <c r="E385" s="2869" t="s">
        <v>831</v>
      </c>
      <c r="F385" s="2870">
        <f t="shared" si="48"/>
        <v>127994</v>
      </c>
      <c r="G385" s="2870"/>
      <c r="H385" s="2870"/>
      <c r="I385" s="2870">
        <v>127994</v>
      </c>
      <c r="J385" s="2871"/>
      <c r="K385" s="2864"/>
      <c r="L385" s="2864"/>
      <c r="M385" s="2864"/>
      <c r="N385" s="2864"/>
      <c r="O385" s="2864"/>
      <c r="P385" s="2864"/>
      <c r="Q385" s="2864"/>
    </row>
    <row r="386" spans="1:17" s="2879" customFormat="1" ht="15" customHeight="1">
      <c r="A386" s="3934"/>
      <c r="B386" s="3935"/>
      <c r="C386" s="3939"/>
      <c r="D386" s="3939"/>
      <c r="E386" s="2869" t="s">
        <v>832</v>
      </c>
      <c r="F386" s="2870">
        <f t="shared" si="48"/>
        <v>535765</v>
      </c>
      <c r="G386" s="2870"/>
      <c r="H386" s="2870"/>
      <c r="I386" s="2870">
        <v>535765</v>
      </c>
      <c r="J386" s="2871"/>
      <c r="K386" s="2864"/>
      <c r="L386" s="2864"/>
      <c r="M386" s="2864"/>
      <c r="N386" s="2864"/>
      <c r="O386" s="2864"/>
      <c r="P386" s="2864"/>
      <c r="Q386" s="2864"/>
    </row>
    <row r="387" spans="1:17" s="2864" customFormat="1" ht="15" customHeight="1">
      <c r="A387" s="3934"/>
      <c r="B387" s="3935"/>
      <c r="C387" s="3939"/>
      <c r="D387" s="3939"/>
      <c r="E387" s="2869" t="s">
        <v>833</v>
      </c>
      <c r="F387" s="2870">
        <f t="shared" si="48"/>
        <v>306235</v>
      </c>
      <c r="G387" s="2870"/>
      <c r="H387" s="2870"/>
      <c r="I387" s="2870">
        <v>306235</v>
      </c>
      <c r="J387" s="2871"/>
    </row>
    <row r="388" spans="1:17" s="2864" customFormat="1" ht="15" customHeight="1">
      <c r="A388" s="3934"/>
      <c r="B388" s="3935"/>
      <c r="C388" s="3939"/>
      <c r="D388" s="3939"/>
      <c r="E388" s="2869" t="s">
        <v>834</v>
      </c>
      <c r="F388" s="2870">
        <f t="shared" si="48"/>
        <v>79537</v>
      </c>
      <c r="G388" s="2870"/>
      <c r="H388" s="2870"/>
      <c r="I388" s="2870">
        <v>79537</v>
      </c>
      <c r="J388" s="2871"/>
    </row>
    <row r="389" spans="1:17" s="2864" customFormat="1" ht="15" customHeight="1">
      <c r="A389" s="3934"/>
      <c r="B389" s="3935"/>
      <c r="C389" s="3939"/>
      <c r="D389" s="3939"/>
      <c r="E389" s="2869" t="s">
        <v>835</v>
      </c>
      <c r="F389" s="2870">
        <f t="shared" si="48"/>
        <v>45463</v>
      </c>
      <c r="G389" s="2870"/>
      <c r="H389" s="2870"/>
      <c r="I389" s="2870">
        <v>45463</v>
      </c>
      <c r="J389" s="2871"/>
    </row>
    <row r="390" spans="1:17" s="2864" customFormat="1" ht="15" customHeight="1">
      <c r="A390" s="3934"/>
      <c r="B390" s="3935"/>
      <c r="C390" s="3939"/>
      <c r="D390" s="3939"/>
      <c r="E390" s="2869" t="s">
        <v>836</v>
      </c>
      <c r="F390" s="2870">
        <f t="shared" si="48"/>
        <v>6363</v>
      </c>
      <c r="G390" s="2870"/>
      <c r="H390" s="2870"/>
      <c r="I390" s="2870">
        <v>6363</v>
      </c>
      <c r="J390" s="2871"/>
    </row>
    <row r="391" spans="1:17" s="2864" customFormat="1" ht="15" customHeight="1">
      <c r="A391" s="3934"/>
      <c r="B391" s="3935"/>
      <c r="C391" s="3939"/>
      <c r="D391" s="3939"/>
      <c r="E391" s="2869" t="s">
        <v>837</v>
      </c>
      <c r="F391" s="2870">
        <f t="shared" si="48"/>
        <v>3637</v>
      </c>
      <c r="G391" s="2870"/>
      <c r="H391" s="2870"/>
      <c r="I391" s="2870">
        <v>3637</v>
      </c>
      <c r="J391" s="2871"/>
    </row>
    <row r="392" spans="1:17" s="2864" customFormat="1" ht="15" customHeight="1">
      <c r="A392" s="3934"/>
      <c r="B392" s="3935"/>
      <c r="C392" s="3939"/>
      <c r="D392" s="3939"/>
      <c r="E392" s="2869" t="s">
        <v>855</v>
      </c>
      <c r="F392" s="2870">
        <f t="shared" si="48"/>
        <v>20998</v>
      </c>
      <c r="G392" s="2870"/>
      <c r="H392" s="2870"/>
      <c r="I392" s="2870">
        <v>20998</v>
      </c>
      <c r="J392" s="2871"/>
    </row>
    <row r="393" spans="1:17" s="2864" customFormat="1" ht="15" customHeight="1">
      <c r="A393" s="3934"/>
      <c r="B393" s="3935"/>
      <c r="C393" s="3939"/>
      <c r="D393" s="3939"/>
      <c r="E393" s="2869" t="s">
        <v>856</v>
      </c>
      <c r="F393" s="2870">
        <f t="shared" si="48"/>
        <v>12002</v>
      </c>
      <c r="G393" s="2870"/>
      <c r="H393" s="2870"/>
      <c r="I393" s="2870">
        <v>12002</v>
      </c>
      <c r="J393" s="2871"/>
    </row>
    <row r="394" spans="1:17" s="2864" customFormat="1" ht="22.5">
      <c r="A394" s="3934"/>
      <c r="B394" s="3935"/>
      <c r="C394" s="3939"/>
      <c r="D394" s="3939"/>
      <c r="E394" s="2880" t="s">
        <v>1312</v>
      </c>
      <c r="F394" s="2881">
        <f>SUM(F395:F413)</f>
        <v>3040000</v>
      </c>
      <c r="G394" s="2881">
        <f t="shared" ref="G394:J394" si="49">SUM(G395:G413)</f>
        <v>0</v>
      </c>
      <c r="H394" s="2881">
        <f t="shared" si="49"/>
        <v>0</v>
      </c>
      <c r="I394" s="2881">
        <f t="shared" si="49"/>
        <v>3040000</v>
      </c>
      <c r="J394" s="2882">
        <f t="shared" si="49"/>
        <v>0</v>
      </c>
    </row>
    <row r="395" spans="1:17" s="2864" customFormat="1" ht="15" customHeight="1">
      <c r="A395" s="3934"/>
      <c r="B395" s="3935"/>
      <c r="C395" s="3939"/>
      <c r="D395" s="3939"/>
      <c r="E395" s="2913" t="s">
        <v>838</v>
      </c>
      <c r="F395" s="2870">
        <f t="shared" ref="F395:F413" si="50">SUM(G395:J395)</f>
        <v>190890</v>
      </c>
      <c r="G395" s="2870"/>
      <c r="H395" s="2870"/>
      <c r="I395" s="2870">
        <v>190890</v>
      </c>
      <c r="J395" s="2871"/>
    </row>
    <row r="396" spans="1:17" s="2864" customFormat="1" ht="15" customHeight="1">
      <c r="A396" s="3934"/>
      <c r="B396" s="3935"/>
      <c r="C396" s="3939"/>
      <c r="D396" s="3939"/>
      <c r="E396" s="2913" t="s">
        <v>840</v>
      </c>
      <c r="F396" s="2870">
        <f t="shared" si="50"/>
        <v>109110</v>
      </c>
      <c r="G396" s="2870"/>
      <c r="H396" s="2870"/>
      <c r="I396" s="2870">
        <v>109110</v>
      </c>
      <c r="J396" s="2871"/>
    </row>
    <row r="397" spans="1:17" s="2864" customFormat="1" ht="15" customHeight="1">
      <c r="A397" s="3934"/>
      <c r="B397" s="3935"/>
      <c r="C397" s="3939"/>
      <c r="D397" s="3939"/>
      <c r="E397" s="2869" t="s">
        <v>841</v>
      </c>
      <c r="F397" s="2870">
        <f t="shared" si="50"/>
        <v>336602</v>
      </c>
      <c r="G397" s="2870"/>
      <c r="H397" s="2870"/>
      <c r="I397" s="2870">
        <v>336602</v>
      </c>
      <c r="J397" s="2871"/>
    </row>
    <row r="398" spans="1:17" s="2864" customFormat="1" ht="15" customHeight="1">
      <c r="A398" s="3934"/>
      <c r="B398" s="3935"/>
      <c r="C398" s="3939"/>
      <c r="D398" s="3939"/>
      <c r="E398" s="2869" t="s">
        <v>842</v>
      </c>
      <c r="F398" s="2870">
        <f t="shared" si="50"/>
        <v>192398</v>
      </c>
      <c r="G398" s="2870"/>
      <c r="H398" s="2870"/>
      <c r="I398" s="2870">
        <v>192398</v>
      </c>
      <c r="J398" s="2871"/>
    </row>
    <row r="399" spans="1:17" s="2864" customFormat="1" ht="15" customHeight="1">
      <c r="A399" s="3934"/>
      <c r="B399" s="3935"/>
      <c r="C399" s="3939"/>
      <c r="D399" s="3939"/>
      <c r="E399" s="2869" t="s">
        <v>843</v>
      </c>
      <c r="F399" s="2870">
        <f t="shared" si="50"/>
        <v>6999</v>
      </c>
      <c r="G399" s="2870"/>
      <c r="H399" s="2870"/>
      <c r="I399" s="2870">
        <v>6999</v>
      </c>
      <c r="J399" s="2871"/>
    </row>
    <row r="400" spans="1:17" s="2864" customFormat="1" ht="15" customHeight="1">
      <c r="A400" s="3934"/>
      <c r="B400" s="3935"/>
      <c r="C400" s="3939"/>
      <c r="D400" s="3939"/>
      <c r="E400" s="2869" t="s">
        <v>844</v>
      </c>
      <c r="F400" s="2870">
        <f t="shared" si="50"/>
        <v>4001</v>
      </c>
      <c r="G400" s="2870"/>
      <c r="H400" s="2870"/>
      <c r="I400" s="2870">
        <v>4001</v>
      </c>
      <c r="J400" s="2871"/>
    </row>
    <row r="401" spans="1:10" s="2864" customFormat="1" ht="15" customHeight="1">
      <c r="A401" s="3934"/>
      <c r="B401" s="3935"/>
      <c r="C401" s="3939"/>
      <c r="D401" s="3939"/>
      <c r="E401" s="2869" t="s">
        <v>845</v>
      </c>
      <c r="F401" s="2870">
        <f t="shared" si="50"/>
        <v>1352138</v>
      </c>
      <c r="G401" s="2870"/>
      <c r="H401" s="2870"/>
      <c r="I401" s="2870">
        <v>1352138</v>
      </c>
      <c r="J401" s="2871"/>
    </row>
    <row r="402" spans="1:10" s="2864" customFormat="1" ht="15" customHeight="1">
      <c r="A402" s="3934"/>
      <c r="B402" s="3935"/>
      <c r="C402" s="3939"/>
      <c r="D402" s="3939"/>
      <c r="E402" s="2869" t="s">
        <v>846</v>
      </c>
      <c r="F402" s="2870">
        <f t="shared" si="50"/>
        <v>772862</v>
      </c>
      <c r="G402" s="2870"/>
      <c r="H402" s="2870"/>
      <c r="I402" s="2870">
        <v>772862</v>
      </c>
      <c r="J402" s="2871"/>
    </row>
    <row r="403" spans="1:10" s="2864" customFormat="1" ht="15" customHeight="1">
      <c r="A403" s="3934"/>
      <c r="B403" s="3935"/>
      <c r="C403" s="3939"/>
      <c r="D403" s="3939"/>
      <c r="E403" s="2869" t="s">
        <v>847</v>
      </c>
      <c r="F403" s="2870">
        <f t="shared" si="50"/>
        <v>2545</v>
      </c>
      <c r="G403" s="2870"/>
      <c r="H403" s="2870"/>
      <c r="I403" s="2870">
        <v>2545</v>
      </c>
      <c r="J403" s="2871"/>
    </row>
    <row r="404" spans="1:10" s="2864" customFormat="1" ht="15" customHeight="1">
      <c r="A404" s="3934"/>
      <c r="B404" s="3935"/>
      <c r="C404" s="3939"/>
      <c r="D404" s="3939"/>
      <c r="E404" s="2869" t="s">
        <v>848</v>
      </c>
      <c r="F404" s="2870">
        <f t="shared" si="50"/>
        <v>1455</v>
      </c>
      <c r="G404" s="2870"/>
      <c r="H404" s="2870"/>
      <c r="I404" s="2870">
        <v>1455</v>
      </c>
      <c r="J404" s="2871"/>
    </row>
    <row r="405" spans="1:10" s="2864" customFormat="1" ht="15" customHeight="1">
      <c r="A405" s="3934"/>
      <c r="B405" s="3935"/>
      <c r="C405" s="3939"/>
      <c r="D405" s="3939"/>
      <c r="E405" s="2869" t="s">
        <v>849</v>
      </c>
      <c r="F405" s="2870">
        <f t="shared" si="50"/>
        <v>10817</v>
      </c>
      <c r="G405" s="2870"/>
      <c r="H405" s="2870"/>
      <c r="I405" s="2870">
        <v>10817</v>
      </c>
      <c r="J405" s="2871"/>
    </row>
    <row r="406" spans="1:10" s="2864" customFormat="1" ht="15" customHeight="1">
      <c r="A406" s="3934"/>
      <c r="B406" s="3935"/>
      <c r="C406" s="3939"/>
      <c r="D406" s="3939"/>
      <c r="E406" s="2869" t="s">
        <v>850</v>
      </c>
      <c r="F406" s="2870">
        <f t="shared" si="50"/>
        <v>6183</v>
      </c>
      <c r="G406" s="2870"/>
      <c r="H406" s="2870"/>
      <c r="I406" s="2870">
        <v>6183</v>
      </c>
      <c r="J406" s="2871"/>
    </row>
    <row r="407" spans="1:10" s="2864" customFormat="1" ht="15" customHeight="1">
      <c r="A407" s="3934"/>
      <c r="B407" s="3935"/>
      <c r="C407" s="3939"/>
      <c r="D407" s="3939"/>
      <c r="E407" s="2869" t="s">
        <v>851</v>
      </c>
      <c r="F407" s="2870">
        <f t="shared" si="50"/>
        <v>12726</v>
      </c>
      <c r="G407" s="2870"/>
      <c r="H407" s="2870"/>
      <c r="I407" s="2870">
        <v>12726</v>
      </c>
      <c r="J407" s="2871"/>
    </row>
    <row r="408" spans="1:10" s="2864" customFormat="1" ht="15" customHeight="1">
      <c r="A408" s="3934"/>
      <c r="B408" s="3935"/>
      <c r="C408" s="3939"/>
      <c r="D408" s="3939"/>
      <c r="E408" s="2869" t="s">
        <v>852</v>
      </c>
      <c r="F408" s="2870">
        <f t="shared" si="50"/>
        <v>7274</v>
      </c>
      <c r="G408" s="2870"/>
      <c r="H408" s="2870"/>
      <c r="I408" s="2870">
        <v>7274</v>
      </c>
      <c r="J408" s="2871"/>
    </row>
    <row r="409" spans="1:10" s="2864" customFormat="1" ht="15" customHeight="1">
      <c r="A409" s="3934"/>
      <c r="B409" s="3935"/>
      <c r="C409" s="3939"/>
      <c r="D409" s="3939"/>
      <c r="E409" s="2869" t="s">
        <v>853</v>
      </c>
      <c r="F409" s="2870">
        <f t="shared" si="50"/>
        <v>21634</v>
      </c>
      <c r="G409" s="2870"/>
      <c r="H409" s="2870"/>
      <c r="I409" s="2870">
        <v>21634</v>
      </c>
      <c r="J409" s="2871"/>
    </row>
    <row r="410" spans="1:10" s="2864" customFormat="1" ht="15" customHeight="1">
      <c r="A410" s="3934"/>
      <c r="B410" s="3935"/>
      <c r="C410" s="3939"/>
      <c r="D410" s="3939"/>
      <c r="E410" s="2869" t="s">
        <v>854</v>
      </c>
      <c r="F410" s="2870">
        <f t="shared" si="50"/>
        <v>12366</v>
      </c>
      <c r="G410" s="2870"/>
      <c r="H410" s="2870"/>
      <c r="I410" s="2870">
        <v>12366</v>
      </c>
      <c r="J410" s="2871"/>
    </row>
    <row r="411" spans="1:10" s="2864" customFormat="1" ht="15" hidden="1" customHeight="1">
      <c r="A411" s="3934"/>
      <c r="B411" s="3935"/>
      <c r="C411" s="3939"/>
      <c r="D411" s="3939"/>
      <c r="E411" s="2869" t="s">
        <v>653</v>
      </c>
      <c r="F411" s="2870">
        <f t="shared" si="50"/>
        <v>0</v>
      </c>
      <c r="G411" s="2870"/>
      <c r="H411" s="2870"/>
      <c r="I411" s="2870"/>
      <c r="J411" s="2871"/>
    </row>
    <row r="412" spans="1:10" s="2864" customFormat="1" ht="15" hidden="1" customHeight="1">
      <c r="A412" s="3934"/>
      <c r="B412" s="3935"/>
      <c r="C412" s="3939"/>
      <c r="D412" s="3939"/>
      <c r="E412" s="2869" t="s">
        <v>591</v>
      </c>
      <c r="F412" s="2870">
        <f t="shared" si="50"/>
        <v>0</v>
      </c>
      <c r="G412" s="2870"/>
      <c r="H412" s="2870"/>
      <c r="I412" s="2870"/>
      <c r="J412" s="2871"/>
    </row>
    <row r="413" spans="1:10" s="2864" customFormat="1" ht="15" hidden="1" customHeight="1">
      <c r="A413" s="3934"/>
      <c r="B413" s="3935"/>
      <c r="C413" s="3939"/>
      <c r="D413" s="3939"/>
      <c r="E413" s="2869" t="s">
        <v>881</v>
      </c>
      <c r="F413" s="2870">
        <f t="shared" si="50"/>
        <v>0</v>
      </c>
      <c r="G413" s="2870"/>
      <c r="H413" s="2870"/>
      <c r="I413" s="2870"/>
      <c r="J413" s="2871"/>
    </row>
    <row r="414" spans="1:10" s="2864" customFormat="1" ht="15" customHeight="1">
      <c r="A414" s="3934"/>
      <c r="B414" s="3935"/>
      <c r="C414" s="3939"/>
      <c r="D414" s="3939"/>
      <c r="E414" s="2872" t="s">
        <v>1305</v>
      </c>
      <c r="F414" s="2867">
        <f>SUM(F415:F416)</f>
        <v>0</v>
      </c>
      <c r="G414" s="2867">
        <f>SUM(G415:G416)</f>
        <v>0</v>
      </c>
      <c r="H414" s="2867">
        <f>SUM(H415:H416)</f>
        <v>0</v>
      </c>
      <c r="I414" s="2867">
        <f>SUM(I415:I416)</f>
        <v>0</v>
      </c>
      <c r="J414" s="2868">
        <f>SUM(J415:J416)</f>
        <v>0</v>
      </c>
    </row>
    <row r="415" spans="1:10" s="2864" customFormat="1" ht="15" hidden="1" customHeight="1">
      <c r="A415" s="2917"/>
      <c r="B415" s="2918"/>
      <c r="C415" s="2919"/>
      <c r="D415" s="2919"/>
      <c r="E415" s="2869"/>
      <c r="F415" s="2870">
        <f>SUM(G415:J415)</f>
        <v>0</v>
      </c>
      <c r="G415" s="2870"/>
      <c r="H415" s="2870"/>
      <c r="I415" s="2870"/>
      <c r="J415" s="2871"/>
    </row>
    <row r="416" spans="1:10" s="2864" customFormat="1" ht="15" hidden="1" customHeight="1">
      <c r="A416" s="2917"/>
      <c r="B416" s="2918"/>
      <c r="C416" s="2919"/>
      <c r="D416" s="2919"/>
      <c r="E416" s="2874"/>
      <c r="F416" s="2870">
        <f>SUM(G416:J416)</f>
        <v>0</v>
      </c>
      <c r="G416" s="2870"/>
      <c r="H416" s="2870"/>
      <c r="I416" s="2870"/>
      <c r="J416" s="2871"/>
    </row>
    <row r="417" spans="1:17" s="2879" customFormat="1" ht="22.5">
      <c r="A417" s="3934" t="s">
        <v>1349</v>
      </c>
      <c r="B417" s="3935" t="s">
        <v>1350</v>
      </c>
      <c r="C417" s="3939" t="s">
        <v>365</v>
      </c>
      <c r="D417" s="3939" t="s">
        <v>367</v>
      </c>
      <c r="E417" s="2861" t="s">
        <v>1304</v>
      </c>
      <c r="F417" s="2862">
        <f>SUM(F418,F448)</f>
        <v>500000</v>
      </c>
      <c r="G417" s="2862">
        <f>SUM(G418,G448)</f>
        <v>0</v>
      </c>
      <c r="H417" s="2862">
        <f>SUM(H418,H448)</f>
        <v>0</v>
      </c>
      <c r="I417" s="2862">
        <f>SUM(I418,I448)</f>
        <v>500000</v>
      </c>
      <c r="J417" s="2863">
        <f>SUM(J418,J448)</f>
        <v>0</v>
      </c>
      <c r="K417" s="2865"/>
      <c r="L417" s="2864"/>
      <c r="M417" s="2864"/>
      <c r="N417" s="2864"/>
      <c r="O417" s="2864"/>
      <c r="P417" s="2864"/>
      <c r="Q417" s="2864"/>
    </row>
    <row r="418" spans="1:17" s="2879" customFormat="1" ht="21">
      <c r="A418" s="3934"/>
      <c r="B418" s="3935"/>
      <c r="C418" s="3939"/>
      <c r="D418" s="3939"/>
      <c r="E418" s="2866" t="s">
        <v>1310</v>
      </c>
      <c r="F418" s="2867">
        <f>SUM(F419,F430)</f>
        <v>500000</v>
      </c>
      <c r="G418" s="2867">
        <f>SUM(G419,G430)</f>
        <v>0</v>
      </c>
      <c r="H418" s="2867">
        <f>SUM(H419,H430)</f>
        <v>0</v>
      </c>
      <c r="I418" s="2867">
        <f>SUM(I419,I430)</f>
        <v>500000</v>
      </c>
      <c r="J418" s="2868">
        <f>SUM(J419,J430)</f>
        <v>0</v>
      </c>
      <c r="K418" s="2864"/>
      <c r="L418" s="2864"/>
      <c r="M418" s="2864"/>
      <c r="N418" s="2864"/>
      <c r="O418" s="2864"/>
      <c r="P418" s="2864"/>
      <c r="Q418" s="2864"/>
    </row>
    <row r="419" spans="1:17" s="2879" customFormat="1" ht="22.5">
      <c r="A419" s="3934"/>
      <c r="B419" s="3935"/>
      <c r="C419" s="3939"/>
      <c r="D419" s="3939"/>
      <c r="E419" s="2880" t="s">
        <v>1311</v>
      </c>
      <c r="F419" s="2881">
        <f>SUM(F420:F429)</f>
        <v>460000</v>
      </c>
      <c r="G419" s="2881">
        <f>SUM(G420:G429)</f>
        <v>0</v>
      </c>
      <c r="H419" s="2881">
        <f>SUM(H420:H429)</f>
        <v>0</v>
      </c>
      <c r="I419" s="2881">
        <f>SUM(I420:I429)</f>
        <v>460000</v>
      </c>
      <c r="J419" s="2882">
        <f>SUM(J420:J429)</f>
        <v>0</v>
      </c>
      <c r="K419" s="2864"/>
      <c r="L419" s="2864"/>
      <c r="M419" s="2864"/>
      <c r="N419" s="2864"/>
      <c r="O419" s="2864"/>
      <c r="P419" s="2864"/>
      <c r="Q419" s="2864"/>
    </row>
    <row r="420" spans="1:17" s="2879" customFormat="1" ht="15" customHeight="1">
      <c r="A420" s="3934"/>
      <c r="B420" s="3935"/>
      <c r="C420" s="3939"/>
      <c r="D420" s="3939"/>
      <c r="E420" s="2869" t="s">
        <v>828</v>
      </c>
      <c r="F420" s="2870">
        <f t="shared" ref="F420:F429" si="51">SUM(G420:J420)</f>
        <v>265500</v>
      </c>
      <c r="G420" s="2870"/>
      <c r="H420" s="2870"/>
      <c r="I420" s="2870">
        <v>265500</v>
      </c>
      <c r="J420" s="2871"/>
      <c r="K420" s="2865"/>
      <c r="L420" s="2864"/>
      <c r="M420" s="2864"/>
      <c r="N420" s="2864"/>
      <c r="O420" s="2864"/>
      <c r="P420" s="2864"/>
      <c r="Q420" s="2864"/>
    </row>
    <row r="421" spans="1:17" s="2879" customFormat="1" ht="15" customHeight="1">
      <c r="A421" s="3934"/>
      <c r="B421" s="3935"/>
      <c r="C421" s="3939"/>
      <c r="D421" s="3939"/>
      <c r="E421" s="2869" t="s">
        <v>829</v>
      </c>
      <c r="F421" s="2870">
        <f t="shared" si="51"/>
        <v>88500</v>
      </c>
      <c r="G421" s="2870"/>
      <c r="H421" s="2870"/>
      <c r="I421" s="2870">
        <v>88500</v>
      </c>
      <c r="J421" s="2871"/>
      <c r="K421" s="2865"/>
      <c r="L421" s="2864"/>
      <c r="M421" s="2864"/>
      <c r="N421" s="2864"/>
      <c r="O421" s="2864"/>
      <c r="P421" s="2864"/>
      <c r="Q421" s="2864"/>
    </row>
    <row r="422" spans="1:17" s="2879" customFormat="1" ht="15" customHeight="1">
      <c r="A422" s="3934"/>
      <c r="B422" s="3935"/>
      <c r="C422" s="3939"/>
      <c r="D422" s="3939"/>
      <c r="E422" s="2869" t="s">
        <v>830</v>
      </c>
      <c r="F422" s="2870">
        <f t="shared" si="51"/>
        <v>19500</v>
      </c>
      <c r="G422" s="2870"/>
      <c r="H422" s="2870"/>
      <c r="I422" s="2870">
        <v>19500</v>
      </c>
      <c r="J422" s="2871"/>
      <c r="K422" s="2914"/>
      <c r="L422" s="2864"/>
      <c r="M422" s="2864"/>
      <c r="N422" s="2864"/>
      <c r="O422" s="2864"/>
      <c r="P422" s="2864"/>
      <c r="Q422" s="2864"/>
    </row>
    <row r="423" spans="1:17" s="2879" customFormat="1" ht="15" customHeight="1">
      <c r="A423" s="3934"/>
      <c r="B423" s="3935"/>
      <c r="C423" s="3939"/>
      <c r="D423" s="3939"/>
      <c r="E423" s="2869" t="s">
        <v>831</v>
      </c>
      <c r="F423" s="2870">
        <f t="shared" si="51"/>
        <v>6500</v>
      </c>
      <c r="G423" s="2870"/>
      <c r="H423" s="2870"/>
      <c r="I423" s="2870">
        <v>6500</v>
      </c>
      <c r="J423" s="2871"/>
      <c r="K423" s="2864"/>
      <c r="L423" s="2864"/>
      <c r="M423" s="2864"/>
      <c r="N423" s="2864"/>
      <c r="O423" s="2864"/>
      <c r="P423" s="2864"/>
      <c r="Q423" s="2864"/>
    </row>
    <row r="424" spans="1:17" s="2879" customFormat="1" ht="15" customHeight="1">
      <c r="A424" s="3934"/>
      <c r="B424" s="3935"/>
      <c r="C424" s="3939"/>
      <c r="D424" s="3939"/>
      <c r="E424" s="2869" t="s">
        <v>832</v>
      </c>
      <c r="F424" s="2870">
        <f t="shared" si="51"/>
        <v>50250</v>
      </c>
      <c r="G424" s="2870"/>
      <c r="H424" s="2870"/>
      <c r="I424" s="2870">
        <v>50250</v>
      </c>
      <c r="J424" s="2871"/>
      <c r="K424" s="2864"/>
      <c r="L424" s="2864"/>
      <c r="M424" s="2864"/>
      <c r="N424" s="2864"/>
      <c r="O424" s="2864"/>
      <c r="P424" s="2864"/>
      <c r="Q424" s="2864"/>
    </row>
    <row r="425" spans="1:17" s="2879" customFormat="1" ht="15" customHeight="1">
      <c r="A425" s="3934"/>
      <c r="B425" s="3935"/>
      <c r="C425" s="3939"/>
      <c r="D425" s="3939"/>
      <c r="E425" s="2869" t="s">
        <v>833</v>
      </c>
      <c r="F425" s="2870">
        <f t="shared" si="51"/>
        <v>16750</v>
      </c>
      <c r="G425" s="2870"/>
      <c r="H425" s="2870"/>
      <c r="I425" s="2870">
        <v>16750</v>
      </c>
      <c r="J425" s="2871"/>
      <c r="K425" s="2864"/>
      <c r="L425" s="2864"/>
      <c r="M425" s="2864"/>
      <c r="N425" s="2864"/>
      <c r="O425" s="2864"/>
      <c r="P425" s="2864"/>
      <c r="Q425" s="2864"/>
    </row>
    <row r="426" spans="1:17" s="2879" customFormat="1" ht="15" customHeight="1">
      <c r="A426" s="3934"/>
      <c r="B426" s="3935"/>
      <c r="C426" s="3939"/>
      <c r="D426" s="3939"/>
      <c r="E426" s="2869" t="s">
        <v>834</v>
      </c>
      <c r="F426" s="2870">
        <f t="shared" si="51"/>
        <v>7500</v>
      </c>
      <c r="G426" s="2870"/>
      <c r="H426" s="2870"/>
      <c r="I426" s="2870">
        <v>7500</v>
      </c>
      <c r="J426" s="2871"/>
      <c r="K426" s="2864"/>
      <c r="L426" s="2864"/>
      <c r="M426" s="2864"/>
      <c r="N426" s="2864"/>
      <c r="O426" s="2864"/>
      <c r="P426" s="2864"/>
      <c r="Q426" s="2864"/>
    </row>
    <row r="427" spans="1:17" s="2879" customFormat="1" ht="15" customHeight="1">
      <c r="A427" s="3934"/>
      <c r="B427" s="3935"/>
      <c r="C427" s="3939"/>
      <c r="D427" s="3939"/>
      <c r="E427" s="2869" t="s">
        <v>835</v>
      </c>
      <c r="F427" s="2870">
        <f t="shared" si="51"/>
        <v>2500</v>
      </c>
      <c r="G427" s="2870"/>
      <c r="H427" s="2870"/>
      <c r="I427" s="2870">
        <v>2500</v>
      </c>
      <c r="J427" s="2871"/>
      <c r="K427" s="2864"/>
      <c r="L427" s="2864"/>
      <c r="M427" s="2864"/>
      <c r="N427" s="2864"/>
      <c r="O427" s="2864"/>
      <c r="P427" s="2864"/>
      <c r="Q427" s="2864"/>
    </row>
    <row r="428" spans="1:17" s="2879" customFormat="1" ht="15" customHeight="1">
      <c r="A428" s="3934"/>
      <c r="B428" s="3935"/>
      <c r="C428" s="3939"/>
      <c r="D428" s="3939"/>
      <c r="E428" s="2869" t="s">
        <v>855</v>
      </c>
      <c r="F428" s="2870">
        <f t="shared" si="51"/>
        <v>2250</v>
      </c>
      <c r="G428" s="2870"/>
      <c r="H428" s="2870"/>
      <c r="I428" s="2870">
        <v>2250</v>
      </c>
      <c r="J428" s="2871"/>
      <c r="K428" s="2864"/>
      <c r="L428" s="2864"/>
      <c r="M428" s="2864"/>
      <c r="N428" s="2864"/>
      <c r="O428" s="2864"/>
      <c r="P428" s="2864"/>
      <c r="Q428" s="2864"/>
    </row>
    <row r="429" spans="1:17" s="2879" customFormat="1" ht="15" customHeight="1">
      <c r="A429" s="3934"/>
      <c r="B429" s="3935"/>
      <c r="C429" s="3939"/>
      <c r="D429" s="3939"/>
      <c r="E429" s="2869" t="s">
        <v>856</v>
      </c>
      <c r="F429" s="2870">
        <f t="shared" si="51"/>
        <v>750</v>
      </c>
      <c r="G429" s="2870"/>
      <c r="H429" s="2870"/>
      <c r="I429" s="2870">
        <v>750</v>
      </c>
      <c r="J429" s="2871"/>
      <c r="K429" s="2864"/>
      <c r="L429" s="2864"/>
      <c r="M429" s="2864"/>
      <c r="N429" s="2864"/>
      <c r="O429" s="2864"/>
      <c r="P429" s="2864"/>
      <c r="Q429" s="2864"/>
    </row>
    <row r="430" spans="1:17" s="2879" customFormat="1" ht="22.5">
      <c r="A430" s="3934"/>
      <c r="B430" s="3935"/>
      <c r="C430" s="3939"/>
      <c r="D430" s="3939"/>
      <c r="E430" s="2880" t="s">
        <v>1312</v>
      </c>
      <c r="F430" s="2881">
        <f>SUM(F431:F447)</f>
        <v>40000</v>
      </c>
      <c r="G430" s="2881">
        <f>SUM(G431:G447)</f>
        <v>0</v>
      </c>
      <c r="H430" s="2881">
        <f>SUM(H431:H447)</f>
        <v>0</v>
      </c>
      <c r="I430" s="2881">
        <f>SUM(I431:I447)</f>
        <v>40000</v>
      </c>
      <c r="J430" s="2882">
        <f>SUM(J431:J447)</f>
        <v>0</v>
      </c>
      <c r="K430" s="2864"/>
      <c r="L430" s="2864"/>
      <c r="M430" s="2864"/>
      <c r="N430" s="2864"/>
      <c r="O430" s="2864"/>
      <c r="P430" s="2864"/>
      <c r="Q430" s="2864"/>
    </row>
    <row r="431" spans="1:17" s="2879" customFormat="1" ht="15" hidden="1" customHeight="1">
      <c r="A431" s="3934"/>
      <c r="B431" s="3935"/>
      <c r="C431" s="3939"/>
      <c r="D431" s="3939"/>
      <c r="E431" s="2869" t="s">
        <v>838</v>
      </c>
      <c r="F431" s="2870">
        <f t="shared" ref="F431:F447" si="52">SUM(G431:J431)</f>
        <v>0</v>
      </c>
      <c r="G431" s="2870"/>
      <c r="H431" s="2870"/>
      <c r="I431" s="2870"/>
      <c r="J431" s="2871"/>
      <c r="K431" s="2864"/>
      <c r="L431" s="2864"/>
      <c r="M431" s="2864"/>
      <c r="N431" s="2864"/>
      <c r="O431" s="2864"/>
      <c r="P431" s="2864"/>
      <c r="Q431" s="2864"/>
    </row>
    <row r="432" spans="1:17" s="2879" customFormat="1" ht="15" hidden="1" customHeight="1">
      <c r="A432" s="3934"/>
      <c r="B432" s="3935"/>
      <c r="C432" s="3939"/>
      <c r="D432" s="3939"/>
      <c r="E432" s="2869" t="s">
        <v>840</v>
      </c>
      <c r="F432" s="2870">
        <f t="shared" si="52"/>
        <v>0</v>
      </c>
      <c r="G432" s="2870"/>
      <c r="H432" s="2870"/>
      <c r="I432" s="2870"/>
      <c r="J432" s="2871"/>
      <c r="K432" s="2864"/>
      <c r="L432" s="2864"/>
      <c r="M432" s="2864"/>
      <c r="N432" s="2864"/>
      <c r="O432" s="2864"/>
      <c r="P432" s="2864"/>
      <c r="Q432" s="2864"/>
    </row>
    <row r="433" spans="1:17" s="2879" customFormat="1" ht="15" customHeight="1">
      <c r="A433" s="3934"/>
      <c r="B433" s="3935"/>
      <c r="C433" s="3939"/>
      <c r="D433" s="3939"/>
      <c r="E433" s="2869" t="s">
        <v>841</v>
      </c>
      <c r="F433" s="2870">
        <f t="shared" si="52"/>
        <v>15000</v>
      </c>
      <c r="G433" s="2870"/>
      <c r="H433" s="2870"/>
      <c r="I433" s="2870">
        <v>15000</v>
      </c>
      <c r="J433" s="2871"/>
      <c r="K433" s="2864"/>
      <c r="L433" s="2864"/>
      <c r="M433" s="2864"/>
      <c r="N433" s="2864"/>
      <c r="O433" s="2864"/>
      <c r="P433" s="2864"/>
      <c r="Q433" s="2864"/>
    </row>
    <row r="434" spans="1:17" s="2879" customFormat="1" ht="15" customHeight="1">
      <c r="A434" s="3934"/>
      <c r="B434" s="3935"/>
      <c r="C434" s="3939"/>
      <c r="D434" s="3939"/>
      <c r="E434" s="2869" t="s">
        <v>842</v>
      </c>
      <c r="F434" s="2870">
        <f t="shared" si="52"/>
        <v>5000</v>
      </c>
      <c r="G434" s="2870"/>
      <c r="H434" s="2870"/>
      <c r="I434" s="2870">
        <v>5000</v>
      </c>
      <c r="J434" s="2871"/>
      <c r="K434" s="2864"/>
      <c r="L434" s="2864"/>
      <c r="M434" s="2864"/>
      <c r="N434" s="2864"/>
      <c r="O434" s="2864"/>
      <c r="P434" s="2864"/>
      <c r="Q434" s="2864"/>
    </row>
    <row r="435" spans="1:17" s="2879" customFormat="1" ht="15" customHeight="1">
      <c r="A435" s="3934"/>
      <c r="B435" s="3935"/>
      <c r="C435" s="3939"/>
      <c r="D435" s="3939"/>
      <c r="E435" s="2869" t="s">
        <v>843</v>
      </c>
      <c r="F435" s="2870">
        <f t="shared" si="52"/>
        <v>2250</v>
      </c>
      <c r="G435" s="2870"/>
      <c r="H435" s="2870"/>
      <c r="I435" s="2870">
        <v>2250</v>
      </c>
      <c r="J435" s="2871"/>
      <c r="K435" s="2864"/>
      <c r="L435" s="2864"/>
      <c r="M435" s="2864"/>
      <c r="N435" s="2864"/>
      <c r="O435" s="2864"/>
      <c r="P435" s="2864"/>
      <c r="Q435" s="2864"/>
    </row>
    <row r="436" spans="1:17" s="2879" customFormat="1" ht="15" customHeight="1">
      <c r="A436" s="3934"/>
      <c r="B436" s="3935"/>
      <c r="C436" s="3939"/>
      <c r="D436" s="3939"/>
      <c r="E436" s="2869" t="s">
        <v>844</v>
      </c>
      <c r="F436" s="2870">
        <f t="shared" si="52"/>
        <v>750</v>
      </c>
      <c r="G436" s="2870"/>
      <c r="H436" s="2870"/>
      <c r="I436" s="2870">
        <v>750</v>
      </c>
      <c r="J436" s="2871"/>
      <c r="K436" s="2864"/>
      <c r="L436" s="2864"/>
      <c r="M436" s="2864"/>
      <c r="N436" s="2864"/>
      <c r="O436" s="2864"/>
      <c r="P436" s="2864"/>
      <c r="Q436" s="2864"/>
    </row>
    <row r="437" spans="1:17" s="2879" customFormat="1" ht="15" customHeight="1">
      <c r="A437" s="3934"/>
      <c r="B437" s="3935"/>
      <c r="C437" s="3939"/>
      <c r="D437" s="3939"/>
      <c r="E437" s="2869" t="s">
        <v>845</v>
      </c>
      <c r="F437" s="2870">
        <f t="shared" si="52"/>
        <v>7500</v>
      </c>
      <c r="G437" s="2870"/>
      <c r="H437" s="2870"/>
      <c r="I437" s="2870">
        <v>7500</v>
      </c>
      <c r="J437" s="2871"/>
      <c r="K437" s="2864"/>
      <c r="L437" s="2864"/>
      <c r="M437" s="2864"/>
      <c r="N437" s="2864"/>
      <c r="O437" s="2864"/>
      <c r="P437" s="2864"/>
      <c r="Q437" s="2864"/>
    </row>
    <row r="438" spans="1:17" s="2879" customFormat="1" ht="15" customHeight="1">
      <c r="A438" s="3934"/>
      <c r="B438" s="3935"/>
      <c r="C438" s="3939"/>
      <c r="D438" s="3939"/>
      <c r="E438" s="2869" t="s">
        <v>846</v>
      </c>
      <c r="F438" s="2870">
        <f t="shared" si="52"/>
        <v>2500</v>
      </c>
      <c r="G438" s="2870"/>
      <c r="H438" s="2870"/>
      <c r="I438" s="2870">
        <v>2500</v>
      </c>
      <c r="J438" s="2871"/>
      <c r="K438" s="2864"/>
      <c r="L438" s="2864"/>
      <c r="M438" s="2864"/>
      <c r="N438" s="2864"/>
      <c r="O438" s="2864"/>
      <c r="P438" s="2864"/>
      <c r="Q438" s="2864"/>
    </row>
    <row r="439" spans="1:17" s="2879" customFormat="1" ht="15" customHeight="1">
      <c r="A439" s="3934"/>
      <c r="B439" s="3935"/>
      <c r="C439" s="3939"/>
      <c r="D439" s="3939"/>
      <c r="E439" s="2869" t="s">
        <v>849</v>
      </c>
      <c r="F439" s="2870">
        <f t="shared" si="52"/>
        <v>1500</v>
      </c>
      <c r="G439" s="2870"/>
      <c r="H439" s="2870"/>
      <c r="I439" s="2870">
        <v>1500</v>
      </c>
      <c r="J439" s="2871"/>
      <c r="K439" s="2864"/>
      <c r="L439" s="2864"/>
      <c r="M439" s="2864"/>
      <c r="N439" s="2864"/>
      <c r="O439" s="2864"/>
      <c r="P439" s="2864"/>
      <c r="Q439" s="2864"/>
    </row>
    <row r="440" spans="1:17" s="2879" customFormat="1" ht="15" customHeight="1">
      <c r="A440" s="3934"/>
      <c r="B440" s="3935"/>
      <c r="C440" s="3939"/>
      <c r="D440" s="3939"/>
      <c r="E440" s="2869" t="s">
        <v>850</v>
      </c>
      <c r="F440" s="2870">
        <f t="shared" si="52"/>
        <v>500</v>
      </c>
      <c r="G440" s="2870"/>
      <c r="H440" s="2870"/>
      <c r="I440" s="2870">
        <v>500</v>
      </c>
      <c r="J440" s="2871"/>
      <c r="K440" s="2864"/>
      <c r="L440" s="2864"/>
      <c r="M440" s="2864"/>
      <c r="N440" s="2864"/>
      <c r="O440" s="2864"/>
      <c r="P440" s="2864"/>
      <c r="Q440" s="2864"/>
    </row>
    <row r="441" spans="1:17" s="2879" customFormat="1" ht="15" customHeight="1">
      <c r="A441" s="3934"/>
      <c r="B441" s="3935"/>
      <c r="C441" s="3939"/>
      <c r="D441" s="3939"/>
      <c r="E441" s="2869" t="s">
        <v>851</v>
      </c>
      <c r="F441" s="2870">
        <f t="shared" si="52"/>
        <v>750</v>
      </c>
      <c r="G441" s="2870"/>
      <c r="H441" s="2870"/>
      <c r="I441" s="2870">
        <v>750</v>
      </c>
      <c r="J441" s="2871"/>
      <c r="K441" s="2864"/>
      <c r="L441" s="2864"/>
      <c r="M441" s="2864"/>
      <c r="N441" s="2864"/>
      <c r="O441" s="2864"/>
      <c r="P441" s="2864"/>
      <c r="Q441" s="2864"/>
    </row>
    <row r="442" spans="1:17" s="2879" customFormat="1" ht="15" customHeight="1">
      <c r="A442" s="3934"/>
      <c r="B442" s="3935"/>
      <c r="C442" s="3939"/>
      <c r="D442" s="3939"/>
      <c r="E442" s="2869" t="s">
        <v>852</v>
      </c>
      <c r="F442" s="2870">
        <f t="shared" si="52"/>
        <v>250</v>
      </c>
      <c r="G442" s="2870"/>
      <c r="H442" s="2870"/>
      <c r="I442" s="2870">
        <v>250</v>
      </c>
      <c r="J442" s="2871"/>
      <c r="K442" s="2864"/>
      <c r="L442" s="2864"/>
      <c r="M442" s="2864"/>
      <c r="N442" s="2864"/>
      <c r="O442" s="2864"/>
      <c r="P442" s="2864"/>
      <c r="Q442" s="2864"/>
    </row>
    <row r="443" spans="1:17" s="2879" customFormat="1" ht="15" customHeight="1">
      <c r="A443" s="3934"/>
      <c r="B443" s="3935"/>
      <c r="C443" s="3939"/>
      <c r="D443" s="3939"/>
      <c r="E443" s="2869" t="s">
        <v>853</v>
      </c>
      <c r="F443" s="2870">
        <f t="shared" si="52"/>
        <v>3000</v>
      </c>
      <c r="G443" s="2870"/>
      <c r="H443" s="2870"/>
      <c r="I443" s="2870">
        <v>3000</v>
      </c>
      <c r="J443" s="2871"/>
      <c r="K443" s="2864"/>
      <c r="L443" s="2864"/>
      <c r="M443" s="2864"/>
      <c r="N443" s="2864"/>
      <c r="O443" s="2864"/>
      <c r="P443" s="2864"/>
      <c r="Q443" s="2864"/>
    </row>
    <row r="444" spans="1:17" s="2879" customFormat="1" ht="15" customHeight="1">
      <c r="A444" s="3934"/>
      <c r="B444" s="3935"/>
      <c r="C444" s="3939"/>
      <c r="D444" s="3939"/>
      <c r="E444" s="2869" t="s">
        <v>854</v>
      </c>
      <c r="F444" s="2870">
        <f t="shared" si="52"/>
        <v>1000</v>
      </c>
      <c r="G444" s="2870"/>
      <c r="H444" s="2870"/>
      <c r="I444" s="2870">
        <v>1000</v>
      </c>
      <c r="J444" s="2871"/>
      <c r="K444" s="2864"/>
      <c r="L444" s="2864"/>
      <c r="M444" s="2864"/>
      <c r="N444" s="2864"/>
      <c r="O444" s="2864"/>
      <c r="P444" s="2864"/>
      <c r="Q444" s="2864"/>
    </row>
    <row r="445" spans="1:17" s="2879" customFormat="1" ht="15" hidden="1" customHeight="1">
      <c r="A445" s="3934"/>
      <c r="B445" s="3935"/>
      <c r="C445" s="3939"/>
      <c r="D445" s="3939"/>
      <c r="E445" s="2869" t="s">
        <v>653</v>
      </c>
      <c r="F445" s="2870">
        <f t="shared" si="52"/>
        <v>0</v>
      </c>
      <c r="G445" s="2870"/>
      <c r="H445" s="2870"/>
      <c r="I445" s="2870"/>
      <c r="J445" s="2871"/>
      <c r="K445" s="2864"/>
      <c r="L445" s="2864"/>
      <c r="M445" s="2864"/>
      <c r="N445" s="2864"/>
      <c r="O445" s="2864"/>
      <c r="P445" s="2864"/>
      <c r="Q445" s="2864"/>
    </row>
    <row r="446" spans="1:17" s="2879" customFormat="1" ht="15" hidden="1" customHeight="1">
      <c r="A446" s="3934"/>
      <c r="B446" s="3935"/>
      <c r="C446" s="3939"/>
      <c r="D446" s="3939"/>
      <c r="E446" s="2869" t="s">
        <v>591</v>
      </c>
      <c r="F446" s="2870">
        <f t="shared" si="52"/>
        <v>0</v>
      </c>
      <c r="G446" s="2870"/>
      <c r="H446" s="2870"/>
      <c r="I446" s="2870"/>
      <c r="J446" s="2871"/>
      <c r="K446" s="2864"/>
      <c r="L446" s="2864"/>
      <c r="M446" s="2864"/>
      <c r="N446" s="2864"/>
      <c r="O446" s="2864"/>
      <c r="P446" s="2864"/>
      <c r="Q446" s="2864"/>
    </row>
    <row r="447" spans="1:17" s="2879" customFormat="1" ht="15" hidden="1" customHeight="1">
      <c r="A447" s="3934"/>
      <c r="B447" s="3935"/>
      <c r="C447" s="3939"/>
      <c r="D447" s="3939"/>
      <c r="E447" s="2869" t="s">
        <v>881</v>
      </c>
      <c r="F447" s="2870">
        <f t="shared" si="52"/>
        <v>0</v>
      </c>
      <c r="G447" s="2870"/>
      <c r="H447" s="2870"/>
      <c r="I447" s="2870"/>
      <c r="J447" s="2871"/>
      <c r="K447" s="2864"/>
      <c r="L447" s="2864"/>
      <c r="M447" s="2864"/>
      <c r="N447" s="2864"/>
      <c r="O447" s="2864"/>
      <c r="P447" s="2864"/>
      <c r="Q447" s="2864"/>
    </row>
    <row r="448" spans="1:17" s="2879" customFormat="1" ht="15" customHeight="1">
      <c r="A448" s="3934"/>
      <c r="B448" s="3935"/>
      <c r="C448" s="3939"/>
      <c r="D448" s="3939"/>
      <c r="E448" s="2872" t="s">
        <v>1305</v>
      </c>
      <c r="F448" s="2867">
        <f>SUM(F449:F450)</f>
        <v>0</v>
      </c>
      <c r="G448" s="2867">
        <f>SUM(G449:G450)</f>
        <v>0</v>
      </c>
      <c r="H448" s="2867">
        <f>SUM(H449:H450)</f>
        <v>0</v>
      </c>
      <c r="I448" s="2867">
        <f>SUM(I449:I450)</f>
        <v>0</v>
      </c>
      <c r="J448" s="2868">
        <f>SUM(J449:J450)</f>
        <v>0</v>
      </c>
    </row>
    <row r="449" spans="1:10" s="2879" customFormat="1" ht="15" hidden="1" customHeight="1">
      <c r="A449" s="2917"/>
      <c r="B449" s="2918"/>
      <c r="C449" s="2919"/>
      <c r="D449" s="2919"/>
      <c r="E449" s="2869" t="s">
        <v>933</v>
      </c>
      <c r="F449" s="2870">
        <f>SUM(G449:J449)</f>
        <v>0</v>
      </c>
      <c r="G449" s="2870"/>
      <c r="H449" s="2870"/>
      <c r="I449" s="2870"/>
      <c r="J449" s="2871"/>
    </row>
    <row r="450" spans="1:10" s="2879" customFormat="1" ht="15" hidden="1" customHeight="1">
      <c r="A450" s="2917"/>
      <c r="B450" s="2918"/>
      <c r="C450" s="2919"/>
      <c r="D450" s="2919"/>
      <c r="E450" s="2874">
        <v>6069</v>
      </c>
      <c r="F450" s="2870">
        <f>SUM(G450:J450)</f>
        <v>0</v>
      </c>
      <c r="G450" s="2870"/>
      <c r="H450" s="2870"/>
      <c r="I450" s="2870"/>
      <c r="J450" s="2871"/>
    </row>
    <row r="451" spans="1:10" s="2864" customFormat="1" ht="15" hidden="1" customHeight="1">
      <c r="A451" s="3952" t="s">
        <v>1351</v>
      </c>
      <c r="B451" s="3953" t="s">
        <v>1352</v>
      </c>
      <c r="C451" s="3954">
        <v>600</v>
      </c>
      <c r="D451" s="3955" t="s">
        <v>90</v>
      </c>
      <c r="E451" s="2898" t="s">
        <v>1304</v>
      </c>
      <c r="F451" s="2899">
        <f>SUM(F452,F461)</f>
        <v>0</v>
      </c>
      <c r="G451" s="2899">
        <f>SUM(G452,G461)</f>
        <v>0</v>
      </c>
      <c r="H451" s="2899">
        <f>SUM(H452,H461)</f>
        <v>0</v>
      </c>
      <c r="I451" s="2899">
        <f>SUM(I452,I461)</f>
        <v>0</v>
      </c>
      <c r="J451" s="2900">
        <f>SUM(J452,J461)</f>
        <v>0</v>
      </c>
    </row>
    <row r="452" spans="1:10" s="2864" customFormat="1" ht="15" hidden="1" customHeight="1">
      <c r="A452" s="3952"/>
      <c r="B452" s="3953"/>
      <c r="C452" s="3954"/>
      <c r="D452" s="3955"/>
      <c r="E452" s="2901" t="s">
        <v>1310</v>
      </c>
      <c r="F452" s="2902">
        <f>SUM(F453,F457)</f>
        <v>0</v>
      </c>
      <c r="G452" s="2902">
        <f>SUM(G453,G457)</f>
        <v>0</v>
      </c>
      <c r="H452" s="2902">
        <f>SUM(H453,H457)</f>
        <v>0</v>
      </c>
      <c r="I452" s="2902">
        <f>SUM(I453,I457)</f>
        <v>0</v>
      </c>
      <c r="J452" s="2903">
        <f>SUM(J453,J457)</f>
        <v>0</v>
      </c>
    </row>
    <row r="453" spans="1:10" s="2864" customFormat="1" ht="15" hidden="1" customHeight="1">
      <c r="A453" s="3952"/>
      <c r="B453" s="3953"/>
      <c r="C453" s="3954"/>
      <c r="D453" s="3955"/>
      <c r="E453" s="2904" t="s">
        <v>1311</v>
      </c>
      <c r="F453" s="2905">
        <f>SUM(F454:F456)</f>
        <v>0</v>
      </c>
      <c r="G453" s="2905">
        <f>SUM(G454:G456)</f>
        <v>0</v>
      </c>
      <c r="H453" s="2905">
        <f>SUM(H454:H456)</f>
        <v>0</v>
      </c>
      <c r="I453" s="2905">
        <f>SUM(I454:I456)</f>
        <v>0</v>
      </c>
      <c r="J453" s="2906">
        <f>SUM(J454:J456)</f>
        <v>0</v>
      </c>
    </row>
    <row r="454" spans="1:10" s="2864" customFormat="1" ht="15" hidden="1" customHeight="1">
      <c r="A454" s="3952"/>
      <c r="B454" s="3953"/>
      <c r="C454" s="3954"/>
      <c r="D454" s="3955"/>
      <c r="E454" s="2895"/>
      <c r="F454" s="2896">
        <f>SUM(G454:J454)</f>
        <v>0</v>
      </c>
      <c r="G454" s="2896"/>
      <c r="H454" s="2896"/>
      <c r="I454" s="2896"/>
      <c r="J454" s="2897"/>
    </row>
    <row r="455" spans="1:10" s="2864" customFormat="1" ht="15" hidden="1" customHeight="1">
      <c r="A455" s="3952"/>
      <c r="B455" s="3953"/>
      <c r="C455" s="3954"/>
      <c r="D455" s="3955"/>
      <c r="E455" s="2895"/>
      <c r="F455" s="2896">
        <f>SUM(G455:J455)</f>
        <v>0</v>
      </c>
      <c r="G455" s="2896"/>
      <c r="H455" s="2896"/>
      <c r="I455" s="2896"/>
      <c r="J455" s="2897"/>
    </row>
    <row r="456" spans="1:10" s="2864" customFormat="1" ht="15" hidden="1" customHeight="1">
      <c r="A456" s="3952"/>
      <c r="B456" s="3953"/>
      <c r="C456" s="3954"/>
      <c r="D456" s="3955"/>
      <c r="E456" s="2895"/>
      <c r="F456" s="2896">
        <f>SUM(G456:J456)</f>
        <v>0</v>
      </c>
      <c r="G456" s="2896"/>
      <c r="H456" s="2896"/>
      <c r="I456" s="2896"/>
      <c r="J456" s="2897"/>
    </row>
    <row r="457" spans="1:10" s="2864" customFormat="1" ht="15" hidden="1" customHeight="1">
      <c r="A457" s="3952"/>
      <c r="B457" s="3953"/>
      <c r="C457" s="3954"/>
      <c r="D457" s="3955"/>
      <c r="E457" s="2904" t="s">
        <v>1312</v>
      </c>
      <c r="F457" s="2905">
        <f>SUM(F458:F460)</f>
        <v>0</v>
      </c>
      <c r="G457" s="2905">
        <f>SUM(G458:G460)</f>
        <v>0</v>
      </c>
      <c r="H457" s="2905">
        <f>SUM(H458:H460)</f>
        <v>0</v>
      </c>
      <c r="I457" s="2905">
        <f>SUM(I458:I460)</f>
        <v>0</v>
      </c>
      <c r="J457" s="2906">
        <f>SUM(J458:J460)</f>
        <v>0</v>
      </c>
    </row>
    <row r="458" spans="1:10" s="2864" customFormat="1" ht="15" hidden="1" customHeight="1">
      <c r="A458" s="3952"/>
      <c r="B458" s="3953"/>
      <c r="C458" s="3954"/>
      <c r="D458" s="3955"/>
      <c r="E458" s="2895"/>
      <c r="F458" s="2896">
        <f>SUM(G458:J458)</f>
        <v>0</v>
      </c>
      <c r="G458" s="2896"/>
      <c r="H458" s="2896"/>
      <c r="I458" s="2896"/>
      <c r="J458" s="2897"/>
    </row>
    <row r="459" spans="1:10" s="2864" customFormat="1" ht="15" hidden="1" customHeight="1">
      <c r="A459" s="3952"/>
      <c r="B459" s="3953"/>
      <c r="C459" s="3954"/>
      <c r="D459" s="3955"/>
      <c r="E459" s="2895"/>
      <c r="F459" s="2896">
        <f t="shared" ref="F459:F460" si="53">SUM(G459:J459)</f>
        <v>0</v>
      </c>
      <c r="G459" s="2896"/>
      <c r="H459" s="2896"/>
      <c r="I459" s="2896"/>
      <c r="J459" s="2897"/>
    </row>
    <row r="460" spans="1:10" s="2864" customFormat="1" ht="15" hidden="1" customHeight="1">
      <c r="A460" s="3952"/>
      <c r="B460" s="3953"/>
      <c r="C460" s="3954"/>
      <c r="D460" s="3955"/>
      <c r="E460" s="2895"/>
      <c r="F460" s="2896">
        <f t="shared" si="53"/>
        <v>0</v>
      </c>
      <c r="G460" s="2896"/>
      <c r="H460" s="2896"/>
      <c r="I460" s="2896"/>
      <c r="J460" s="2897"/>
    </row>
    <row r="461" spans="1:10" s="2864" customFormat="1" ht="15" hidden="1" customHeight="1">
      <c r="A461" s="3952"/>
      <c r="B461" s="3953"/>
      <c r="C461" s="3954"/>
      <c r="D461" s="3955"/>
      <c r="E461" s="2907" t="s">
        <v>1305</v>
      </c>
      <c r="F461" s="2902">
        <f>SUM(F462:F464)</f>
        <v>0</v>
      </c>
      <c r="G461" s="2902">
        <f>SUM(G462:G464)</f>
        <v>0</v>
      </c>
      <c r="H461" s="2902">
        <f>SUM(H462:H464)</f>
        <v>0</v>
      </c>
      <c r="I461" s="2902">
        <f>SUM(I462:I464)</f>
        <v>0</v>
      </c>
      <c r="J461" s="2903">
        <f>SUM(J462:J464)</f>
        <v>0</v>
      </c>
    </row>
    <row r="462" spans="1:10" s="2864" customFormat="1" ht="15" hidden="1" customHeight="1">
      <c r="A462" s="3952"/>
      <c r="B462" s="3953"/>
      <c r="C462" s="3954"/>
      <c r="D462" s="3955"/>
      <c r="E462" s="2895" t="s">
        <v>812</v>
      </c>
      <c r="F462" s="2896">
        <f t="shared" ref="F462" si="54">SUM(G462:J462)</f>
        <v>0</v>
      </c>
      <c r="G462" s="2896"/>
      <c r="H462" s="2896"/>
      <c r="I462" s="2896"/>
      <c r="J462" s="2897"/>
    </row>
    <row r="463" spans="1:10" s="2864" customFormat="1" ht="15" hidden="1" customHeight="1">
      <c r="A463" s="3952"/>
      <c r="B463" s="3953"/>
      <c r="C463" s="3954"/>
      <c r="D463" s="3955"/>
      <c r="E463" s="2895" t="s">
        <v>897</v>
      </c>
      <c r="F463" s="2896">
        <f>SUM(G463:J463)</f>
        <v>0</v>
      </c>
      <c r="G463" s="2896"/>
      <c r="H463" s="2896"/>
      <c r="I463" s="2896"/>
      <c r="J463" s="2897"/>
    </row>
    <row r="464" spans="1:10" s="2864" customFormat="1" ht="15" hidden="1" customHeight="1">
      <c r="A464" s="3952"/>
      <c r="B464" s="3953"/>
      <c r="C464" s="3954"/>
      <c r="D464" s="3955"/>
      <c r="E464" s="2916">
        <v>6069</v>
      </c>
      <c r="F464" s="2896">
        <f>SUM(G464:J464)</f>
        <v>0</v>
      </c>
      <c r="G464" s="2896"/>
      <c r="H464" s="2896"/>
      <c r="I464" s="2896"/>
      <c r="J464" s="2897"/>
    </row>
    <row r="465" spans="1:10" s="2864" customFormat="1" ht="22.5" customHeight="1">
      <c r="A465" s="3910" t="s">
        <v>1353</v>
      </c>
      <c r="B465" s="3912" t="s">
        <v>1354</v>
      </c>
      <c r="C465" s="3924">
        <v>600</v>
      </c>
      <c r="D465" s="3927" t="s">
        <v>919</v>
      </c>
      <c r="E465" s="2861" t="s">
        <v>1304</v>
      </c>
      <c r="F465" s="2862">
        <f>SUM(F466,F475)</f>
        <v>76572267</v>
      </c>
      <c r="G465" s="2862">
        <f>SUM(G466,G475)</f>
        <v>54285632</v>
      </c>
      <c r="H465" s="2862">
        <f>SUM(H466,H475)</f>
        <v>22286635</v>
      </c>
      <c r="I465" s="2862">
        <f>SUM(I466,I475)</f>
        <v>0</v>
      </c>
      <c r="J465" s="2863">
        <f>SUM(J466,J475)</f>
        <v>0</v>
      </c>
    </row>
    <row r="466" spans="1:10" s="2864" customFormat="1" ht="15" customHeight="1">
      <c r="A466" s="3911"/>
      <c r="B466" s="3913"/>
      <c r="C466" s="3925"/>
      <c r="D466" s="3928"/>
      <c r="E466" s="2866" t="s">
        <v>1017</v>
      </c>
      <c r="F466" s="2867">
        <f>SUM(F467,F471)</f>
        <v>0</v>
      </c>
      <c r="G466" s="2867">
        <f>SUM(G467,G471)</f>
        <v>0</v>
      </c>
      <c r="H466" s="2867">
        <f>SUM(H467,H471)</f>
        <v>0</v>
      </c>
      <c r="I466" s="2867">
        <f>SUM(I467,I471)</f>
        <v>0</v>
      </c>
      <c r="J466" s="2868">
        <f>SUM(J467,J471)</f>
        <v>0</v>
      </c>
    </row>
    <row r="467" spans="1:10" s="2864" customFormat="1" ht="15" hidden="1" customHeight="1">
      <c r="A467" s="3911"/>
      <c r="B467" s="3913"/>
      <c r="C467" s="3925"/>
      <c r="D467" s="3928"/>
      <c r="E467" s="2880" t="s">
        <v>1311</v>
      </c>
      <c r="F467" s="2881">
        <f>SUM(F468:F470)</f>
        <v>0</v>
      </c>
      <c r="G467" s="2881">
        <f>SUM(G468:G470)</f>
        <v>0</v>
      </c>
      <c r="H467" s="2881">
        <f>SUM(H468:H470)</f>
        <v>0</v>
      </c>
      <c r="I467" s="2881">
        <f>SUM(I468:I470)</f>
        <v>0</v>
      </c>
      <c r="J467" s="2882">
        <f>SUM(J468:J470)</f>
        <v>0</v>
      </c>
    </row>
    <row r="468" spans="1:10" s="2864" customFormat="1" ht="15" hidden="1" customHeight="1">
      <c r="A468" s="3911"/>
      <c r="B468" s="3913"/>
      <c r="C468" s="3925"/>
      <c r="D468" s="3928"/>
      <c r="E468" s="2869"/>
      <c r="F468" s="2870">
        <f>SUM(G468:J468)</f>
        <v>0</v>
      </c>
      <c r="G468" s="2870"/>
      <c r="H468" s="2870"/>
      <c r="I468" s="2870"/>
      <c r="J468" s="2871"/>
    </row>
    <row r="469" spans="1:10" s="2864" customFormat="1" ht="15" hidden="1" customHeight="1">
      <c r="A469" s="3911"/>
      <c r="B469" s="3913"/>
      <c r="C469" s="3925"/>
      <c r="D469" s="3928"/>
      <c r="E469" s="2869"/>
      <c r="F469" s="2870">
        <f>SUM(G469:J469)</f>
        <v>0</v>
      </c>
      <c r="G469" s="2870"/>
      <c r="H469" s="2870"/>
      <c r="I469" s="2870"/>
      <c r="J469" s="2871"/>
    </row>
    <row r="470" spans="1:10" s="2864" customFormat="1" ht="15" hidden="1" customHeight="1">
      <c r="A470" s="3911"/>
      <c r="B470" s="3913"/>
      <c r="C470" s="3925"/>
      <c r="D470" s="3928"/>
      <c r="E470" s="2869"/>
      <c r="F470" s="2870">
        <f>SUM(G470:J470)</f>
        <v>0</v>
      </c>
      <c r="G470" s="2870"/>
      <c r="H470" s="2870"/>
      <c r="I470" s="2870"/>
      <c r="J470" s="2871"/>
    </row>
    <row r="471" spans="1:10" s="2864" customFormat="1" ht="15" hidden="1" customHeight="1">
      <c r="A471" s="3911"/>
      <c r="B471" s="3913"/>
      <c r="C471" s="3925"/>
      <c r="D471" s="3928"/>
      <c r="E471" s="2880" t="s">
        <v>1312</v>
      </c>
      <c r="F471" s="2881">
        <f>SUM(F472:F474)</f>
        <v>0</v>
      </c>
      <c r="G471" s="2881">
        <f>SUM(G472:G474)</f>
        <v>0</v>
      </c>
      <c r="H471" s="2881">
        <f>SUM(H472:H474)</f>
        <v>0</v>
      </c>
      <c r="I471" s="2881">
        <f>SUM(I472:I474)</f>
        <v>0</v>
      </c>
      <c r="J471" s="2882">
        <f>SUM(J472:J474)</f>
        <v>0</v>
      </c>
    </row>
    <row r="472" spans="1:10" s="2864" customFormat="1" ht="15" hidden="1" customHeight="1">
      <c r="A472" s="3911"/>
      <c r="B472" s="3913"/>
      <c r="C472" s="3925"/>
      <c r="D472" s="3928"/>
      <c r="E472" s="2869"/>
      <c r="F472" s="2870">
        <f>SUM(G472:J472)</f>
        <v>0</v>
      </c>
      <c r="G472" s="2870"/>
      <c r="H472" s="2870"/>
      <c r="I472" s="2870"/>
      <c r="J472" s="2871"/>
    </row>
    <row r="473" spans="1:10" s="2864" customFormat="1" ht="15" hidden="1" customHeight="1">
      <c r="A473" s="3911"/>
      <c r="B473" s="3913"/>
      <c r="C473" s="3925"/>
      <c r="D473" s="3928"/>
      <c r="E473" s="2869"/>
      <c r="F473" s="2870">
        <f t="shared" ref="F473:F474" si="55">SUM(G473:J473)</f>
        <v>0</v>
      </c>
      <c r="G473" s="2870"/>
      <c r="H473" s="2870"/>
      <c r="I473" s="2870"/>
      <c r="J473" s="2871"/>
    </row>
    <row r="474" spans="1:10" s="2864" customFormat="1" ht="15" hidden="1" customHeight="1">
      <c r="A474" s="3911"/>
      <c r="B474" s="3913"/>
      <c r="C474" s="3925"/>
      <c r="D474" s="3928"/>
      <c r="E474" s="2869"/>
      <c r="F474" s="2870">
        <f t="shared" si="55"/>
        <v>0</v>
      </c>
      <c r="G474" s="2870"/>
      <c r="H474" s="2870"/>
      <c r="I474" s="2870"/>
      <c r="J474" s="2871"/>
    </row>
    <row r="475" spans="1:10" s="2864" customFormat="1" ht="15" customHeight="1">
      <c r="A475" s="3911"/>
      <c r="B475" s="3913"/>
      <c r="C475" s="3925"/>
      <c r="D475" s="3928"/>
      <c r="E475" s="2872" t="s">
        <v>1305</v>
      </c>
      <c r="F475" s="2867">
        <f>SUM(F476:F481)</f>
        <v>76572267</v>
      </c>
      <c r="G475" s="2867">
        <f>SUM(G476:G481)</f>
        <v>54285632</v>
      </c>
      <c r="H475" s="2867">
        <f>SUM(H476:H481)</f>
        <v>22286635</v>
      </c>
      <c r="I475" s="2867">
        <f>SUM(I476:I481)</f>
        <v>0</v>
      </c>
      <c r="J475" s="2868">
        <f>SUM(J476:J481)</f>
        <v>0</v>
      </c>
    </row>
    <row r="476" spans="1:10" s="2864" customFormat="1" ht="15" customHeight="1">
      <c r="A476" s="3911"/>
      <c r="B476" s="3913"/>
      <c r="C476" s="3925"/>
      <c r="D476" s="3928"/>
      <c r="E476" s="2869" t="s">
        <v>821</v>
      </c>
      <c r="F476" s="2870">
        <f>SUM(G476:J476)</f>
        <v>31998997</v>
      </c>
      <c r="G476" s="2870">
        <v>31998997</v>
      </c>
      <c r="H476" s="2870"/>
      <c r="I476" s="2870"/>
      <c r="J476" s="2871"/>
    </row>
    <row r="477" spans="1:10" s="2864" customFormat="1" ht="15" customHeight="1">
      <c r="A477" s="3911"/>
      <c r="B477" s="3913"/>
      <c r="C477" s="3925"/>
      <c r="D477" s="3928"/>
      <c r="E477" s="2869" t="s">
        <v>920</v>
      </c>
      <c r="F477" s="2870">
        <f t="shared" ref="F477:F479" si="56">SUM(G477:J477)</f>
        <v>22286635</v>
      </c>
      <c r="G477" s="2870"/>
      <c r="H477" s="2870">
        <v>22286635</v>
      </c>
      <c r="I477" s="2870"/>
      <c r="J477" s="2871"/>
    </row>
    <row r="478" spans="1:10" s="2864" customFormat="1" ht="15" customHeight="1">
      <c r="A478" s="3920"/>
      <c r="B478" s="3937"/>
      <c r="C478" s="3926"/>
      <c r="D478" s="3929"/>
      <c r="E478" s="2869" t="s">
        <v>921</v>
      </c>
      <c r="F478" s="2870">
        <f t="shared" si="56"/>
        <v>22286635</v>
      </c>
      <c r="G478" s="2870">
        <v>22286635</v>
      </c>
      <c r="H478" s="2870"/>
      <c r="I478" s="2870"/>
      <c r="J478" s="2871"/>
    </row>
    <row r="479" spans="1:10" s="2864" customFormat="1" ht="15" hidden="1" customHeight="1">
      <c r="A479" s="2917"/>
      <c r="B479" s="2918"/>
      <c r="C479" s="2920"/>
      <c r="D479" s="2919"/>
      <c r="E479" s="2869" t="s">
        <v>812</v>
      </c>
      <c r="F479" s="2870">
        <f t="shared" si="56"/>
        <v>0</v>
      </c>
      <c r="G479" s="2870"/>
      <c r="H479" s="2870"/>
      <c r="I479" s="2870"/>
      <c r="J479" s="2871"/>
    </row>
    <row r="480" spans="1:10" s="2864" customFormat="1" ht="15" hidden="1" customHeight="1">
      <c r="A480" s="2917"/>
      <c r="B480" s="2918"/>
      <c r="C480" s="2920"/>
      <c r="D480" s="2919"/>
      <c r="E480" s="2869" t="s">
        <v>897</v>
      </c>
      <c r="F480" s="2870">
        <f>SUM(G480:J480)</f>
        <v>0</v>
      </c>
      <c r="G480" s="2870"/>
      <c r="H480" s="2870"/>
      <c r="I480" s="2870"/>
      <c r="J480" s="2871"/>
    </row>
    <row r="481" spans="1:11" s="2864" customFormat="1" ht="15" hidden="1" customHeight="1">
      <c r="A481" s="2917"/>
      <c r="B481" s="2918"/>
      <c r="C481" s="2920"/>
      <c r="D481" s="2919"/>
      <c r="E481" s="2874">
        <v>6069</v>
      </c>
      <c r="F481" s="2870">
        <f>SUM(G481:J481)</f>
        <v>0</v>
      </c>
      <c r="G481" s="2870"/>
      <c r="H481" s="2870"/>
      <c r="I481" s="2870"/>
      <c r="J481" s="2871"/>
    </row>
    <row r="482" spans="1:11" s="2864" customFormat="1" ht="15" hidden="1" customHeight="1">
      <c r="A482" s="3952" t="s">
        <v>1355</v>
      </c>
      <c r="B482" s="3953" t="s">
        <v>1356</v>
      </c>
      <c r="C482" s="3954">
        <v>600</v>
      </c>
      <c r="D482" s="3955" t="s">
        <v>919</v>
      </c>
      <c r="E482" s="2898" t="s">
        <v>1304</v>
      </c>
      <c r="F482" s="2899">
        <f>SUM(F483,F492)</f>
        <v>0</v>
      </c>
      <c r="G482" s="2899">
        <f>SUM(G483,G492)</f>
        <v>0</v>
      </c>
      <c r="H482" s="2899">
        <f>SUM(H483,H492)</f>
        <v>0</v>
      </c>
      <c r="I482" s="2899">
        <f>SUM(I483,I492)</f>
        <v>0</v>
      </c>
      <c r="J482" s="2900">
        <f>SUM(J483,J492)</f>
        <v>0</v>
      </c>
    </row>
    <row r="483" spans="1:11" s="2864" customFormat="1" ht="15" hidden="1" customHeight="1">
      <c r="A483" s="3952"/>
      <c r="B483" s="3953"/>
      <c r="C483" s="3954"/>
      <c r="D483" s="3955"/>
      <c r="E483" s="2901" t="s">
        <v>1310</v>
      </c>
      <c r="F483" s="2902">
        <f>SUM(F484,F488)</f>
        <v>0</v>
      </c>
      <c r="G483" s="2902">
        <f>SUM(G484,G488)</f>
        <v>0</v>
      </c>
      <c r="H483" s="2902">
        <f>SUM(H484,H488)</f>
        <v>0</v>
      </c>
      <c r="I483" s="2902">
        <f>SUM(I484,I488)</f>
        <v>0</v>
      </c>
      <c r="J483" s="2903">
        <f>SUM(J484,J488)</f>
        <v>0</v>
      </c>
    </row>
    <row r="484" spans="1:11" s="2864" customFormat="1" ht="15" hidden="1" customHeight="1">
      <c r="A484" s="3952"/>
      <c r="B484" s="3953"/>
      <c r="C484" s="3954"/>
      <c r="D484" s="3955"/>
      <c r="E484" s="2904" t="s">
        <v>1311</v>
      </c>
      <c r="F484" s="2905">
        <f>SUM(F485:F487)</f>
        <v>0</v>
      </c>
      <c r="G484" s="2905">
        <f>SUM(G485:G487)</f>
        <v>0</v>
      </c>
      <c r="H484" s="2905">
        <f>SUM(H485:H487)</f>
        <v>0</v>
      </c>
      <c r="I484" s="2905">
        <f>SUM(I485:I487)</f>
        <v>0</v>
      </c>
      <c r="J484" s="2906">
        <f>SUM(J485:J487)</f>
        <v>0</v>
      </c>
    </row>
    <row r="485" spans="1:11" s="2864" customFormat="1" ht="15" hidden="1" customHeight="1">
      <c r="A485" s="3952"/>
      <c r="B485" s="3953"/>
      <c r="C485" s="3954"/>
      <c r="D485" s="3955"/>
      <c r="E485" s="2895"/>
      <c r="F485" s="2896">
        <f>SUM(G485:J485)</f>
        <v>0</v>
      </c>
      <c r="G485" s="2896"/>
      <c r="H485" s="2896"/>
      <c r="I485" s="2896"/>
      <c r="J485" s="2897"/>
    </row>
    <row r="486" spans="1:11" s="2864" customFormat="1" ht="15" hidden="1" customHeight="1">
      <c r="A486" s="3952"/>
      <c r="B486" s="3953"/>
      <c r="C486" s="3954"/>
      <c r="D486" s="3955"/>
      <c r="E486" s="2895"/>
      <c r="F486" s="2896">
        <f>SUM(G486:J486)</f>
        <v>0</v>
      </c>
      <c r="G486" s="2896"/>
      <c r="H486" s="2896"/>
      <c r="I486" s="2896"/>
      <c r="J486" s="2897"/>
    </row>
    <row r="487" spans="1:11" s="2864" customFormat="1" ht="15" hidden="1" customHeight="1">
      <c r="A487" s="3952"/>
      <c r="B487" s="3953"/>
      <c r="C487" s="3954"/>
      <c r="D487" s="3955"/>
      <c r="E487" s="2895"/>
      <c r="F487" s="2896">
        <f>SUM(G487:J487)</f>
        <v>0</v>
      </c>
      <c r="G487" s="2896"/>
      <c r="H487" s="2896"/>
      <c r="I487" s="2896"/>
      <c r="J487" s="2897"/>
    </row>
    <row r="488" spans="1:11" s="2864" customFormat="1" ht="15" hidden="1" customHeight="1">
      <c r="A488" s="3952"/>
      <c r="B488" s="3953"/>
      <c r="C488" s="3954"/>
      <c r="D488" s="3955"/>
      <c r="E488" s="2904" t="s">
        <v>1312</v>
      </c>
      <c r="F488" s="2905">
        <f>SUM(F489:F491)</f>
        <v>0</v>
      </c>
      <c r="G488" s="2905">
        <f>SUM(G489:G491)</f>
        <v>0</v>
      </c>
      <c r="H488" s="2905">
        <f>SUM(H489:H491)</f>
        <v>0</v>
      </c>
      <c r="I488" s="2905">
        <f>SUM(I489:I491)</f>
        <v>0</v>
      </c>
      <c r="J488" s="2906">
        <f>SUM(J489:J491)</f>
        <v>0</v>
      </c>
    </row>
    <row r="489" spans="1:11" s="2864" customFormat="1" ht="15" hidden="1" customHeight="1">
      <c r="A489" s="3952"/>
      <c r="B489" s="3953"/>
      <c r="C489" s="3954"/>
      <c r="D489" s="3955"/>
      <c r="E489" s="2895"/>
      <c r="F489" s="2896">
        <f>SUM(G489:J489)</f>
        <v>0</v>
      </c>
      <c r="G489" s="2896"/>
      <c r="H489" s="2896"/>
      <c r="I489" s="2896"/>
      <c r="J489" s="2897"/>
    </row>
    <row r="490" spans="1:11" s="2864" customFormat="1" ht="15" hidden="1" customHeight="1">
      <c r="A490" s="3952"/>
      <c r="B490" s="3953"/>
      <c r="C490" s="3954"/>
      <c r="D490" s="3955"/>
      <c r="E490" s="2895"/>
      <c r="F490" s="2896">
        <f t="shared" ref="F490:F491" si="57">SUM(G490:J490)</f>
        <v>0</v>
      </c>
      <c r="G490" s="2896"/>
      <c r="H490" s="2896"/>
      <c r="I490" s="2896"/>
      <c r="J490" s="2897"/>
    </row>
    <row r="491" spans="1:11" s="2864" customFormat="1" ht="15" hidden="1" customHeight="1">
      <c r="A491" s="3952"/>
      <c r="B491" s="3953"/>
      <c r="C491" s="3954"/>
      <c r="D491" s="3955"/>
      <c r="E491" s="2895"/>
      <c r="F491" s="2896">
        <f t="shared" si="57"/>
        <v>0</v>
      </c>
      <c r="G491" s="2896"/>
      <c r="H491" s="2896"/>
      <c r="I491" s="2896"/>
      <c r="J491" s="2897"/>
    </row>
    <row r="492" spans="1:11" s="2864" customFormat="1" ht="15" hidden="1" customHeight="1">
      <c r="A492" s="3952"/>
      <c r="B492" s="3953"/>
      <c r="C492" s="3954"/>
      <c r="D492" s="3955"/>
      <c r="E492" s="2907" t="s">
        <v>1305</v>
      </c>
      <c r="F492" s="2902">
        <f>SUM(F493:F495)</f>
        <v>0</v>
      </c>
      <c r="G492" s="2902">
        <f>SUM(G493:G495)</f>
        <v>0</v>
      </c>
      <c r="H492" s="2902">
        <f>SUM(H493:H495)</f>
        <v>0</v>
      </c>
      <c r="I492" s="2902">
        <f>SUM(I493:I495)</f>
        <v>0</v>
      </c>
      <c r="J492" s="2903">
        <f>SUM(J493:J495)</f>
        <v>0</v>
      </c>
    </row>
    <row r="493" spans="1:11" s="2864" customFormat="1" ht="15" hidden="1" customHeight="1">
      <c r="A493" s="3952"/>
      <c r="B493" s="3953"/>
      <c r="C493" s="3954"/>
      <c r="D493" s="3955"/>
      <c r="E493" s="2895" t="s">
        <v>821</v>
      </c>
      <c r="F493" s="2896">
        <f>SUM(G493:J493)</f>
        <v>0</v>
      </c>
      <c r="G493" s="2896"/>
      <c r="H493" s="2896"/>
      <c r="I493" s="2896"/>
      <c r="J493" s="2897"/>
    </row>
    <row r="494" spans="1:11" s="2864" customFormat="1" ht="15" hidden="1" customHeight="1">
      <c r="A494" s="3952"/>
      <c r="B494" s="3953"/>
      <c r="C494" s="3954"/>
      <c r="D494" s="3955"/>
      <c r="E494" s="2895" t="s">
        <v>898</v>
      </c>
      <c r="F494" s="2896">
        <f t="shared" ref="F494:F495" si="58">SUM(G494:J494)</f>
        <v>0</v>
      </c>
      <c r="G494" s="2896"/>
      <c r="H494" s="2896"/>
      <c r="I494" s="2896"/>
      <c r="J494" s="2897"/>
    </row>
    <row r="495" spans="1:11" s="2864" customFormat="1" ht="15" hidden="1" customHeight="1">
      <c r="A495" s="3952"/>
      <c r="B495" s="3953"/>
      <c r="C495" s="3954"/>
      <c r="D495" s="3955"/>
      <c r="E495" s="2895" t="s">
        <v>423</v>
      </c>
      <c r="F495" s="2896">
        <f t="shared" si="58"/>
        <v>0</v>
      </c>
      <c r="G495" s="2896"/>
      <c r="H495" s="2896"/>
      <c r="I495" s="2896"/>
      <c r="J495" s="2897"/>
    </row>
    <row r="496" spans="1:11" s="2864" customFormat="1" ht="22.5">
      <c r="A496" s="3934" t="s">
        <v>1357</v>
      </c>
      <c r="B496" s="3935" t="s">
        <v>1358</v>
      </c>
      <c r="C496" s="3939" t="s">
        <v>93</v>
      </c>
      <c r="D496" s="3939" t="s">
        <v>94</v>
      </c>
      <c r="E496" s="2861" t="s">
        <v>1304</v>
      </c>
      <c r="F496" s="2862">
        <f>SUM(F497,F518)</f>
        <v>120000</v>
      </c>
      <c r="G496" s="2862">
        <f>SUM(G497,G518)</f>
        <v>120000</v>
      </c>
      <c r="H496" s="2862">
        <f>SUM(H497,H518)</f>
        <v>0</v>
      </c>
      <c r="I496" s="2862">
        <f>SUM(I497,I518)</f>
        <v>0</v>
      </c>
      <c r="J496" s="2863">
        <f>SUM(J497,J518)</f>
        <v>0</v>
      </c>
      <c r="K496" s="2877"/>
    </row>
    <row r="497" spans="1:11" s="2864" customFormat="1" ht="21">
      <c r="A497" s="3934"/>
      <c r="B497" s="3935"/>
      <c r="C497" s="3939"/>
      <c r="D497" s="3939"/>
      <c r="E497" s="2866" t="s">
        <v>1310</v>
      </c>
      <c r="F497" s="2867">
        <f>SUM(F498,F507)</f>
        <v>120000</v>
      </c>
      <c r="G497" s="2867">
        <f>SUM(G498,G507)</f>
        <v>120000</v>
      </c>
      <c r="H497" s="2867">
        <f>SUM(H498,H507)</f>
        <v>0</v>
      </c>
      <c r="I497" s="2867">
        <f>SUM(I498,I507)</f>
        <v>0</v>
      </c>
      <c r="J497" s="2868">
        <f>SUM(J498,J507)</f>
        <v>0</v>
      </c>
      <c r="K497" s="2878"/>
    </row>
    <row r="498" spans="1:11" s="2864" customFormat="1" ht="22.5">
      <c r="A498" s="3934"/>
      <c r="B498" s="3935"/>
      <c r="C498" s="3939"/>
      <c r="D498" s="3939"/>
      <c r="E498" s="2880" t="s">
        <v>1311</v>
      </c>
      <c r="F498" s="2881">
        <f>SUM(F499:F506)</f>
        <v>20000</v>
      </c>
      <c r="G498" s="2881">
        <f>SUM(G499:G506)</f>
        <v>20000</v>
      </c>
      <c r="H498" s="2881">
        <f>SUM(H499:H506)</f>
        <v>0</v>
      </c>
      <c r="I498" s="2881">
        <f>SUM(I499:I506)</f>
        <v>0</v>
      </c>
      <c r="J498" s="2882">
        <f>SUM(J499:J506)</f>
        <v>0</v>
      </c>
      <c r="K498" s="2878"/>
    </row>
    <row r="499" spans="1:11" s="2864" customFormat="1" ht="15" customHeight="1">
      <c r="A499" s="3934"/>
      <c r="B499" s="3935"/>
      <c r="C499" s="3939"/>
      <c r="D499" s="3939"/>
      <c r="E499" s="2869" t="s">
        <v>828</v>
      </c>
      <c r="F499" s="2870">
        <f t="shared" ref="F499:F506" si="59">SUM(G499:J499)</f>
        <v>14209</v>
      </c>
      <c r="G499" s="2870">
        <v>14209</v>
      </c>
      <c r="H499" s="2870"/>
      <c r="I499" s="2870"/>
      <c r="J499" s="2871"/>
      <c r="K499" s="2865"/>
    </row>
    <row r="500" spans="1:11" s="2864" customFormat="1" ht="15" customHeight="1">
      <c r="A500" s="3934"/>
      <c r="B500" s="3935"/>
      <c r="C500" s="3939"/>
      <c r="D500" s="3939"/>
      <c r="E500" s="2869" t="s">
        <v>829</v>
      </c>
      <c r="F500" s="2870">
        <f t="shared" si="59"/>
        <v>2508</v>
      </c>
      <c r="G500" s="2870">
        <v>2508</v>
      </c>
      <c r="H500" s="2870"/>
      <c r="I500" s="2870"/>
      <c r="J500" s="2871"/>
      <c r="K500" s="2865"/>
    </row>
    <row r="501" spans="1:11" s="2864" customFormat="1" ht="15" customHeight="1">
      <c r="A501" s="3934"/>
      <c r="B501" s="3935"/>
      <c r="C501" s="3939"/>
      <c r="D501" s="3939"/>
      <c r="E501" s="2869" t="s">
        <v>832</v>
      </c>
      <c r="F501" s="2870">
        <f t="shared" si="59"/>
        <v>2443</v>
      </c>
      <c r="G501" s="2870">
        <v>2443</v>
      </c>
      <c r="H501" s="2870"/>
      <c r="I501" s="2870"/>
      <c r="J501" s="2871"/>
      <c r="K501" s="2914"/>
    </row>
    <row r="502" spans="1:11" s="2864" customFormat="1" ht="15" customHeight="1">
      <c r="A502" s="3934"/>
      <c r="B502" s="3935"/>
      <c r="C502" s="3939"/>
      <c r="D502" s="3939"/>
      <c r="E502" s="2869" t="s">
        <v>833</v>
      </c>
      <c r="F502" s="2870">
        <f t="shared" si="59"/>
        <v>431</v>
      </c>
      <c r="G502" s="2870">
        <v>431</v>
      </c>
      <c r="H502" s="2870"/>
      <c r="I502" s="2870"/>
      <c r="J502" s="2871"/>
    </row>
    <row r="503" spans="1:11" s="2864" customFormat="1" ht="15" customHeight="1">
      <c r="A503" s="3934"/>
      <c r="B503" s="3935"/>
      <c r="C503" s="3939"/>
      <c r="D503" s="3939"/>
      <c r="E503" s="2869" t="s">
        <v>834</v>
      </c>
      <c r="F503" s="2870">
        <f t="shared" si="59"/>
        <v>348</v>
      </c>
      <c r="G503" s="2870">
        <v>348</v>
      </c>
      <c r="H503" s="2870"/>
      <c r="I503" s="2870"/>
      <c r="J503" s="2871"/>
    </row>
    <row r="504" spans="1:11" s="2864" customFormat="1" ht="15" customHeight="1">
      <c r="A504" s="3934"/>
      <c r="B504" s="3935"/>
      <c r="C504" s="3939"/>
      <c r="D504" s="3939"/>
      <c r="E504" s="2869" t="s">
        <v>835</v>
      </c>
      <c r="F504" s="2870">
        <f t="shared" si="59"/>
        <v>61</v>
      </c>
      <c r="G504" s="2870">
        <v>61</v>
      </c>
      <c r="H504" s="2870"/>
      <c r="I504" s="2870"/>
      <c r="J504" s="2871"/>
      <c r="K504" s="2865"/>
    </row>
    <row r="505" spans="1:11" s="2864" customFormat="1" ht="15" hidden="1" customHeight="1">
      <c r="A505" s="3934"/>
      <c r="B505" s="3935"/>
      <c r="C505" s="3939"/>
      <c r="D505" s="3939"/>
      <c r="E505" s="2869" t="s">
        <v>836</v>
      </c>
      <c r="F505" s="2870">
        <f t="shared" si="59"/>
        <v>0</v>
      </c>
      <c r="G505" s="2870"/>
      <c r="H505" s="2870"/>
      <c r="I505" s="2870"/>
      <c r="J505" s="2871"/>
    </row>
    <row r="506" spans="1:11" s="2864" customFormat="1" ht="15" hidden="1" customHeight="1">
      <c r="A506" s="3934"/>
      <c r="B506" s="3935"/>
      <c r="C506" s="3939"/>
      <c r="D506" s="3939"/>
      <c r="E506" s="2869" t="s">
        <v>837</v>
      </c>
      <c r="F506" s="2870">
        <f t="shared" si="59"/>
        <v>0</v>
      </c>
      <c r="G506" s="2870"/>
      <c r="H506" s="2870"/>
      <c r="I506" s="2870"/>
      <c r="J506" s="2871"/>
    </row>
    <row r="507" spans="1:11" s="2864" customFormat="1" ht="22.5">
      <c r="A507" s="3934"/>
      <c r="B507" s="3935"/>
      <c r="C507" s="3939"/>
      <c r="D507" s="3939"/>
      <c r="E507" s="2880" t="s">
        <v>1312</v>
      </c>
      <c r="F507" s="2881">
        <f>SUM(F508:F517)</f>
        <v>100000</v>
      </c>
      <c r="G507" s="2881">
        <f>SUM(G508:G517)</f>
        <v>100000</v>
      </c>
      <c r="H507" s="2881">
        <f>SUM(H508:H517)</f>
        <v>0</v>
      </c>
      <c r="I507" s="2881">
        <f>SUM(I508:I517)</f>
        <v>0</v>
      </c>
      <c r="J507" s="2882">
        <f>SUM(J508:J517)</f>
        <v>0</v>
      </c>
      <c r="K507" s="2865"/>
    </row>
    <row r="508" spans="1:11" s="2864" customFormat="1" ht="15" customHeight="1">
      <c r="A508" s="3934"/>
      <c r="B508" s="3935"/>
      <c r="C508" s="3939"/>
      <c r="D508" s="3939"/>
      <c r="E508" s="2869" t="s">
        <v>841</v>
      </c>
      <c r="F508" s="2870">
        <f t="shared" ref="F508:F517" si="60">SUM(G508:J508)</f>
        <v>1700</v>
      </c>
      <c r="G508" s="2870">
        <v>1700</v>
      </c>
      <c r="H508" s="2870"/>
      <c r="I508" s="2870"/>
      <c r="J508" s="2871"/>
    </row>
    <row r="509" spans="1:11" s="2864" customFormat="1" ht="15" customHeight="1">
      <c r="A509" s="3934"/>
      <c r="B509" s="3935"/>
      <c r="C509" s="3939"/>
      <c r="D509" s="3939"/>
      <c r="E509" s="2869" t="s">
        <v>842</v>
      </c>
      <c r="F509" s="2870">
        <f t="shared" si="60"/>
        <v>300</v>
      </c>
      <c r="G509" s="2870">
        <v>300</v>
      </c>
      <c r="H509" s="2870"/>
      <c r="I509" s="2870"/>
      <c r="J509" s="2871"/>
    </row>
    <row r="510" spans="1:11" s="2864" customFormat="1" ht="15" customHeight="1">
      <c r="A510" s="3934"/>
      <c r="B510" s="3935"/>
      <c r="C510" s="3939"/>
      <c r="D510" s="3939"/>
      <c r="E510" s="2869" t="s">
        <v>845</v>
      </c>
      <c r="F510" s="2870">
        <f t="shared" si="60"/>
        <v>40800</v>
      </c>
      <c r="G510" s="2870">
        <v>40800</v>
      </c>
      <c r="H510" s="2870"/>
      <c r="I510" s="2870"/>
      <c r="J510" s="2871"/>
    </row>
    <row r="511" spans="1:11" s="2864" customFormat="1" ht="15" customHeight="1">
      <c r="A511" s="3934"/>
      <c r="B511" s="3935"/>
      <c r="C511" s="3939"/>
      <c r="D511" s="3939"/>
      <c r="E511" s="2869" t="s">
        <v>846</v>
      </c>
      <c r="F511" s="2870">
        <f t="shared" si="60"/>
        <v>7200</v>
      </c>
      <c r="G511" s="2870">
        <v>7200</v>
      </c>
      <c r="H511" s="2870"/>
      <c r="I511" s="2870"/>
      <c r="J511" s="2871"/>
    </row>
    <row r="512" spans="1:11" s="2864" customFormat="1" ht="15" customHeight="1">
      <c r="A512" s="3934"/>
      <c r="B512" s="3935"/>
      <c r="C512" s="3939"/>
      <c r="D512" s="3939"/>
      <c r="E512" s="2869" t="s">
        <v>952</v>
      </c>
      <c r="F512" s="2870">
        <f t="shared" si="60"/>
        <v>1700</v>
      </c>
      <c r="G512" s="2870">
        <v>1700</v>
      </c>
      <c r="H512" s="2870"/>
      <c r="I512" s="2870"/>
      <c r="J512" s="2871"/>
    </row>
    <row r="513" spans="1:17" s="2864" customFormat="1" ht="15" customHeight="1">
      <c r="A513" s="3934"/>
      <c r="B513" s="3935"/>
      <c r="C513" s="3939"/>
      <c r="D513" s="3939"/>
      <c r="E513" s="2869" t="s">
        <v>953</v>
      </c>
      <c r="F513" s="2870">
        <f t="shared" si="60"/>
        <v>300</v>
      </c>
      <c r="G513" s="2870">
        <v>300</v>
      </c>
      <c r="H513" s="2870"/>
      <c r="I513" s="2870"/>
      <c r="J513" s="2871"/>
    </row>
    <row r="514" spans="1:17" s="2864" customFormat="1" ht="15" hidden="1" customHeight="1">
      <c r="A514" s="3934"/>
      <c r="B514" s="3935"/>
      <c r="C514" s="3939"/>
      <c r="D514" s="3939"/>
      <c r="E514" s="2869" t="s">
        <v>849</v>
      </c>
      <c r="F514" s="2870">
        <f t="shared" si="60"/>
        <v>0</v>
      </c>
      <c r="G514" s="2870"/>
      <c r="H514" s="2870"/>
      <c r="I514" s="2870"/>
      <c r="J514" s="2871"/>
    </row>
    <row r="515" spans="1:17" s="2864" customFormat="1" ht="15" hidden="1" customHeight="1">
      <c r="A515" s="3934"/>
      <c r="B515" s="3935"/>
      <c r="C515" s="3939"/>
      <c r="D515" s="3939"/>
      <c r="E515" s="2869" t="s">
        <v>850</v>
      </c>
      <c r="F515" s="2870">
        <f t="shared" si="60"/>
        <v>0</v>
      </c>
      <c r="G515" s="2870"/>
      <c r="H515" s="2870"/>
      <c r="I515" s="2870"/>
      <c r="J515" s="2871"/>
    </row>
    <row r="516" spans="1:17" s="2864" customFormat="1" ht="15" customHeight="1">
      <c r="A516" s="3934"/>
      <c r="B516" s="3935"/>
      <c r="C516" s="3939"/>
      <c r="D516" s="3939"/>
      <c r="E516" s="2869" t="s">
        <v>954</v>
      </c>
      <c r="F516" s="2870">
        <f t="shared" si="60"/>
        <v>40800</v>
      </c>
      <c r="G516" s="2870">
        <v>40800</v>
      </c>
      <c r="H516" s="2870"/>
      <c r="I516" s="2870"/>
      <c r="J516" s="2871"/>
    </row>
    <row r="517" spans="1:17" s="2864" customFormat="1" ht="15" customHeight="1">
      <c r="A517" s="3934"/>
      <c r="B517" s="3935"/>
      <c r="C517" s="3939"/>
      <c r="D517" s="3939"/>
      <c r="E517" s="2869" t="s">
        <v>955</v>
      </c>
      <c r="F517" s="2870">
        <f t="shared" si="60"/>
        <v>7200</v>
      </c>
      <c r="G517" s="2870">
        <v>7200</v>
      </c>
      <c r="H517" s="2870"/>
      <c r="I517" s="2870"/>
      <c r="J517" s="2871"/>
    </row>
    <row r="518" spans="1:17" s="2864" customFormat="1" ht="15" customHeight="1">
      <c r="A518" s="3934"/>
      <c r="B518" s="3935"/>
      <c r="C518" s="3939"/>
      <c r="D518" s="3939"/>
      <c r="E518" s="2872" t="s">
        <v>1305</v>
      </c>
      <c r="F518" s="2867">
        <f>SUM(F519:F520)</f>
        <v>0</v>
      </c>
      <c r="G518" s="2867">
        <f>SUM(G519:G520)</f>
        <v>0</v>
      </c>
      <c r="H518" s="2867">
        <f>SUM(H519:H520)</f>
        <v>0</v>
      </c>
      <c r="I518" s="2867">
        <f>SUM(I519:I520)</f>
        <v>0</v>
      </c>
      <c r="J518" s="2868">
        <f>SUM(J519:J520)</f>
        <v>0</v>
      </c>
    </row>
    <row r="519" spans="1:17" s="2864" customFormat="1" ht="15" hidden="1" customHeight="1">
      <c r="A519" s="2891"/>
      <c r="B519" s="2910"/>
      <c r="C519" s="2894"/>
      <c r="D519" s="2894"/>
      <c r="E519" s="2895" t="s">
        <v>933</v>
      </c>
      <c r="F519" s="2896">
        <f>SUM(G519:J519)</f>
        <v>0</v>
      </c>
      <c r="G519" s="2896"/>
      <c r="H519" s="2896"/>
      <c r="I519" s="2896"/>
      <c r="J519" s="2897"/>
    </row>
    <row r="520" spans="1:17" s="2864" customFormat="1" ht="15" hidden="1" customHeight="1">
      <c r="A520" s="2891"/>
      <c r="B520" s="2910"/>
      <c r="C520" s="2894"/>
      <c r="D520" s="2894"/>
      <c r="E520" s="2916">
        <v>6069</v>
      </c>
      <c r="F520" s="2896">
        <f>SUM(G520:J520)</f>
        <v>0</v>
      </c>
      <c r="G520" s="2896"/>
      <c r="H520" s="2896"/>
      <c r="I520" s="2896"/>
      <c r="J520" s="2897"/>
    </row>
    <row r="521" spans="1:17" s="2879" customFormat="1" ht="22.5">
      <c r="A521" s="3934" t="s">
        <v>1351</v>
      </c>
      <c r="B521" s="3935" t="s">
        <v>1359</v>
      </c>
      <c r="C521" s="3939" t="s">
        <v>116</v>
      </c>
      <c r="D521" s="3939" t="s">
        <v>1252</v>
      </c>
      <c r="E521" s="2861" t="s">
        <v>1304</v>
      </c>
      <c r="F521" s="2862">
        <f>SUM(F522,F541)</f>
        <v>94950</v>
      </c>
      <c r="G521" s="2862">
        <f>SUM(G522,G541)</f>
        <v>94950</v>
      </c>
      <c r="H521" s="2862">
        <f>SUM(H522,H541)</f>
        <v>0</v>
      </c>
      <c r="I521" s="2862">
        <f>SUM(I522,I541)</f>
        <v>0</v>
      </c>
      <c r="J521" s="2863">
        <f>SUM(J522,J541)</f>
        <v>0</v>
      </c>
      <c r="K521" s="2877"/>
      <c r="M521" s="2864"/>
      <c r="N521" s="2864"/>
      <c r="O521" s="2864"/>
      <c r="P521" s="2864"/>
      <c r="Q521" s="2864"/>
    </row>
    <row r="522" spans="1:17" s="2879" customFormat="1" ht="21">
      <c r="A522" s="3934"/>
      <c r="B522" s="3935"/>
      <c r="C522" s="3939"/>
      <c r="D522" s="3939"/>
      <c r="E522" s="2866" t="s">
        <v>1310</v>
      </c>
      <c r="F522" s="2867">
        <f>SUM(F523,F532)</f>
        <v>94950</v>
      </c>
      <c r="G522" s="2867">
        <f>SUM(G523,G532)</f>
        <v>94950</v>
      </c>
      <c r="H522" s="2867">
        <f>SUM(H523,H532)</f>
        <v>0</v>
      </c>
      <c r="I522" s="2867">
        <f>SUM(I523,I532)</f>
        <v>0</v>
      </c>
      <c r="J522" s="2868">
        <f>SUM(J523,J532)</f>
        <v>0</v>
      </c>
      <c r="K522" s="2878"/>
      <c r="M522" s="2864"/>
      <c r="N522" s="2864"/>
      <c r="O522" s="2864"/>
      <c r="P522" s="2864"/>
      <c r="Q522" s="2864"/>
    </row>
    <row r="523" spans="1:17" s="2879" customFormat="1" ht="22.5">
      <c r="A523" s="3934"/>
      <c r="B523" s="3935"/>
      <c r="C523" s="3939"/>
      <c r="D523" s="3939"/>
      <c r="E523" s="2880" t="s">
        <v>1311</v>
      </c>
      <c r="F523" s="2881">
        <f>SUM(F524:F531)</f>
        <v>83600</v>
      </c>
      <c r="G523" s="2881">
        <f>SUM(G524:G531)</f>
        <v>83600</v>
      </c>
      <c r="H523" s="2881">
        <f>SUM(H524:H531)</f>
        <v>0</v>
      </c>
      <c r="I523" s="2881">
        <f>SUM(I524:I531)</f>
        <v>0</v>
      </c>
      <c r="J523" s="2882">
        <f>SUM(J524:J531)</f>
        <v>0</v>
      </c>
      <c r="K523" s="2878"/>
      <c r="M523" s="2864"/>
      <c r="N523" s="2864"/>
      <c r="O523" s="2864"/>
      <c r="P523" s="2864"/>
      <c r="Q523" s="2864"/>
    </row>
    <row r="524" spans="1:17" s="2879" customFormat="1" ht="15" customHeight="1">
      <c r="A524" s="3934"/>
      <c r="B524" s="3935"/>
      <c r="C524" s="3939"/>
      <c r="D524" s="3939"/>
      <c r="E524" s="2869" t="s">
        <v>828</v>
      </c>
      <c r="F524" s="2870">
        <f t="shared" ref="F524:F531" si="61">SUM(G524:J524)</f>
        <v>50150</v>
      </c>
      <c r="G524" s="2870">
        <v>50150</v>
      </c>
      <c r="H524" s="2870"/>
      <c r="I524" s="2870"/>
      <c r="J524" s="2871"/>
      <c r="K524" s="2878"/>
      <c r="M524" s="2864"/>
      <c r="N524" s="2864"/>
      <c r="O524" s="2864"/>
      <c r="P524" s="2864"/>
      <c r="Q524" s="2864"/>
    </row>
    <row r="525" spans="1:17" s="2879" customFormat="1" ht="15" customHeight="1">
      <c r="A525" s="3934"/>
      <c r="B525" s="3935"/>
      <c r="C525" s="3939"/>
      <c r="D525" s="3939"/>
      <c r="E525" s="2869" t="s">
        <v>829</v>
      </c>
      <c r="F525" s="2870">
        <f t="shared" si="61"/>
        <v>8850</v>
      </c>
      <c r="G525" s="2870">
        <v>8850</v>
      </c>
      <c r="H525" s="2870"/>
      <c r="I525" s="2870"/>
      <c r="J525" s="2871"/>
      <c r="K525" s="2878"/>
      <c r="M525" s="2864"/>
      <c r="N525" s="2864"/>
      <c r="O525" s="2864"/>
      <c r="P525" s="2864"/>
      <c r="Q525" s="2864"/>
    </row>
    <row r="526" spans="1:17" s="2879" customFormat="1" ht="15" customHeight="1">
      <c r="A526" s="3934"/>
      <c r="B526" s="3935"/>
      <c r="C526" s="3939"/>
      <c r="D526" s="3939"/>
      <c r="E526" s="2869" t="s">
        <v>832</v>
      </c>
      <c r="F526" s="2870">
        <f t="shared" si="61"/>
        <v>8092</v>
      </c>
      <c r="G526" s="2870">
        <v>8092</v>
      </c>
      <c r="H526" s="2870"/>
      <c r="I526" s="2870"/>
      <c r="J526" s="2871"/>
      <c r="K526" s="2877"/>
      <c r="M526" s="2864"/>
      <c r="N526" s="2864"/>
      <c r="O526" s="2864"/>
      <c r="P526" s="2864"/>
      <c r="Q526" s="2864"/>
    </row>
    <row r="527" spans="1:17" s="2879" customFormat="1" ht="15" customHeight="1">
      <c r="A527" s="3934"/>
      <c r="B527" s="3935"/>
      <c r="C527" s="3939"/>
      <c r="D527" s="3939"/>
      <c r="E527" s="2869" t="s">
        <v>833</v>
      </c>
      <c r="F527" s="2870">
        <f t="shared" si="61"/>
        <v>1428</v>
      </c>
      <c r="G527" s="2870">
        <v>1428</v>
      </c>
      <c r="H527" s="2870"/>
      <c r="I527" s="2870"/>
      <c r="J527" s="2871"/>
      <c r="M527" s="2864"/>
      <c r="N527" s="2864"/>
      <c r="O527" s="2864"/>
      <c r="P527" s="2864"/>
      <c r="Q527" s="2864"/>
    </row>
    <row r="528" spans="1:17" s="2879" customFormat="1" ht="15" customHeight="1">
      <c r="A528" s="3934"/>
      <c r="B528" s="3935"/>
      <c r="C528" s="3939"/>
      <c r="D528" s="3939"/>
      <c r="E528" s="2869" t="s">
        <v>834</v>
      </c>
      <c r="F528" s="2870">
        <f t="shared" si="61"/>
        <v>1190</v>
      </c>
      <c r="G528" s="2870">
        <v>1190</v>
      </c>
      <c r="H528" s="2870"/>
      <c r="I528" s="2870"/>
      <c r="J528" s="2871"/>
      <c r="M528" s="2864"/>
      <c r="N528" s="2864"/>
      <c r="O528" s="2864"/>
      <c r="P528" s="2864"/>
      <c r="Q528" s="2864"/>
    </row>
    <row r="529" spans="1:17" s="2879" customFormat="1" ht="15" customHeight="1">
      <c r="A529" s="3934"/>
      <c r="B529" s="3935"/>
      <c r="C529" s="3939"/>
      <c r="D529" s="3939"/>
      <c r="E529" s="2869" t="s">
        <v>835</v>
      </c>
      <c r="F529" s="2870">
        <f t="shared" si="61"/>
        <v>210</v>
      </c>
      <c r="G529" s="2870">
        <v>210</v>
      </c>
      <c r="H529" s="2870"/>
      <c r="I529" s="2870"/>
      <c r="J529" s="2871"/>
      <c r="M529" s="2864"/>
      <c r="N529" s="2864"/>
      <c r="O529" s="2864"/>
      <c r="P529" s="2864"/>
      <c r="Q529" s="2864"/>
    </row>
    <row r="530" spans="1:17" s="2879" customFormat="1" ht="15" customHeight="1">
      <c r="A530" s="3934"/>
      <c r="B530" s="3935"/>
      <c r="C530" s="3939"/>
      <c r="D530" s="3939"/>
      <c r="E530" s="2869" t="s">
        <v>836</v>
      </c>
      <c r="F530" s="2870">
        <f t="shared" si="61"/>
        <v>11628</v>
      </c>
      <c r="G530" s="2870">
        <v>11628</v>
      </c>
      <c r="H530" s="2870"/>
      <c r="I530" s="2870"/>
      <c r="J530" s="2871"/>
      <c r="M530" s="2864"/>
      <c r="N530" s="2864"/>
      <c r="O530" s="2864"/>
      <c r="P530" s="2864"/>
      <c r="Q530" s="2864"/>
    </row>
    <row r="531" spans="1:17" s="2879" customFormat="1" ht="15" customHeight="1">
      <c r="A531" s="3934"/>
      <c r="B531" s="3935"/>
      <c r="C531" s="3939"/>
      <c r="D531" s="3939"/>
      <c r="E531" s="2869" t="s">
        <v>837</v>
      </c>
      <c r="F531" s="2870">
        <f t="shared" si="61"/>
        <v>2052</v>
      </c>
      <c r="G531" s="2870">
        <v>2052</v>
      </c>
      <c r="H531" s="2870"/>
      <c r="I531" s="2870"/>
      <c r="J531" s="2871"/>
      <c r="M531" s="2864"/>
      <c r="N531" s="2864"/>
      <c r="O531" s="2864"/>
      <c r="P531" s="2864"/>
      <c r="Q531" s="2864"/>
    </row>
    <row r="532" spans="1:17" s="2879" customFormat="1" ht="22.5">
      <c r="A532" s="3934"/>
      <c r="B532" s="3935"/>
      <c r="C532" s="3939"/>
      <c r="D532" s="3939"/>
      <c r="E532" s="2880" t="s">
        <v>1312</v>
      </c>
      <c r="F532" s="2881">
        <f>SUM(F533:F540)</f>
        <v>11350</v>
      </c>
      <c r="G532" s="2881">
        <f>SUM(G533:G540)</f>
        <v>11350</v>
      </c>
      <c r="H532" s="2881">
        <f>SUM(H533:H540)</f>
        <v>0</v>
      </c>
      <c r="I532" s="2881">
        <f>SUM(I533:I540)</f>
        <v>0</v>
      </c>
      <c r="J532" s="2882">
        <f>SUM(J533:J540)</f>
        <v>0</v>
      </c>
      <c r="M532" s="2864"/>
      <c r="N532" s="2864"/>
      <c r="O532" s="2864"/>
      <c r="P532" s="2864"/>
      <c r="Q532" s="2864"/>
    </row>
    <row r="533" spans="1:17" s="2879" customFormat="1" ht="15" customHeight="1">
      <c r="A533" s="3934"/>
      <c r="B533" s="3935"/>
      <c r="C533" s="3939"/>
      <c r="D533" s="3939"/>
      <c r="E533" s="2869" t="s">
        <v>841</v>
      </c>
      <c r="F533" s="2870">
        <f t="shared" ref="F533:F540" si="62">SUM(G533:J533)</f>
        <v>9066</v>
      </c>
      <c r="G533" s="2870">
        <v>9066</v>
      </c>
      <c r="H533" s="2870"/>
      <c r="I533" s="2870"/>
      <c r="J533" s="2871"/>
      <c r="M533" s="2864"/>
      <c r="N533" s="2864"/>
      <c r="O533" s="2864"/>
      <c r="P533" s="2864"/>
      <c r="Q533" s="2864"/>
    </row>
    <row r="534" spans="1:17" s="2879" customFormat="1" ht="15" customHeight="1">
      <c r="A534" s="3934"/>
      <c r="B534" s="3935"/>
      <c r="C534" s="3939"/>
      <c r="D534" s="3939"/>
      <c r="E534" s="2869" t="s">
        <v>842</v>
      </c>
      <c r="F534" s="2870">
        <f t="shared" si="62"/>
        <v>1600</v>
      </c>
      <c r="G534" s="2870">
        <v>1600</v>
      </c>
      <c r="H534" s="2870"/>
      <c r="I534" s="2870"/>
      <c r="J534" s="2871"/>
      <c r="M534" s="2864"/>
      <c r="N534" s="2864"/>
      <c r="O534" s="2864"/>
      <c r="P534" s="2864"/>
      <c r="Q534" s="2864"/>
    </row>
    <row r="535" spans="1:17" s="2879" customFormat="1" ht="15" hidden="1" customHeight="1">
      <c r="A535" s="3934"/>
      <c r="B535" s="3935"/>
      <c r="C535" s="3939"/>
      <c r="D535" s="3939"/>
      <c r="E535" s="2869" t="s">
        <v>845</v>
      </c>
      <c r="F535" s="2870">
        <f t="shared" si="62"/>
        <v>0</v>
      </c>
      <c r="G535" s="2870"/>
      <c r="H535" s="2870"/>
      <c r="I535" s="2870"/>
      <c r="J535" s="2871"/>
      <c r="M535" s="2864"/>
      <c r="N535" s="2864"/>
      <c r="O535" s="2864"/>
      <c r="P535" s="2864"/>
      <c r="Q535" s="2864"/>
    </row>
    <row r="536" spans="1:17" s="2879" customFormat="1" ht="15" hidden="1" customHeight="1">
      <c r="A536" s="3934"/>
      <c r="B536" s="3935"/>
      <c r="C536" s="3939"/>
      <c r="D536" s="3939"/>
      <c r="E536" s="2869" t="s">
        <v>846</v>
      </c>
      <c r="F536" s="2870">
        <f t="shared" si="62"/>
        <v>0</v>
      </c>
      <c r="G536" s="2870"/>
      <c r="H536" s="2870"/>
      <c r="I536" s="2870"/>
      <c r="J536" s="2871"/>
      <c r="M536" s="2864"/>
      <c r="N536" s="2864"/>
      <c r="O536" s="2864"/>
      <c r="P536" s="2864"/>
      <c r="Q536" s="2864"/>
    </row>
    <row r="537" spans="1:17" s="2879" customFormat="1" ht="15" customHeight="1">
      <c r="A537" s="3934"/>
      <c r="B537" s="3935"/>
      <c r="C537" s="3939"/>
      <c r="D537" s="3939"/>
      <c r="E537" s="2869" t="s">
        <v>849</v>
      </c>
      <c r="F537" s="2870">
        <f t="shared" si="62"/>
        <v>581</v>
      </c>
      <c r="G537" s="2870">
        <v>581</v>
      </c>
      <c r="H537" s="2870"/>
      <c r="I537" s="2870"/>
      <c r="J537" s="2871"/>
      <c r="M537" s="2864"/>
      <c r="N537" s="2864"/>
      <c r="O537" s="2864"/>
      <c r="P537" s="2864"/>
      <c r="Q537" s="2864"/>
    </row>
    <row r="538" spans="1:17" s="2879" customFormat="1" ht="15" customHeight="1">
      <c r="A538" s="3934"/>
      <c r="B538" s="3935"/>
      <c r="C538" s="3939"/>
      <c r="D538" s="3939"/>
      <c r="E538" s="2869" t="s">
        <v>850</v>
      </c>
      <c r="F538" s="2870">
        <f t="shared" si="62"/>
        <v>103</v>
      </c>
      <c r="G538" s="2870">
        <v>103</v>
      </c>
      <c r="H538" s="2870"/>
      <c r="I538" s="2870"/>
      <c r="J538" s="2871"/>
      <c r="M538" s="2864"/>
      <c r="N538" s="2864"/>
      <c r="O538" s="2864"/>
      <c r="P538" s="2864"/>
      <c r="Q538" s="2864"/>
    </row>
    <row r="539" spans="1:17" s="2879" customFormat="1" ht="15" hidden="1" customHeight="1">
      <c r="A539" s="3934"/>
      <c r="B539" s="3935"/>
      <c r="C539" s="3939"/>
      <c r="D539" s="3939"/>
      <c r="E539" s="2869" t="s">
        <v>954</v>
      </c>
      <c r="F539" s="2870">
        <f t="shared" si="62"/>
        <v>0</v>
      </c>
      <c r="G539" s="2870"/>
      <c r="H539" s="2870"/>
      <c r="I539" s="2870"/>
      <c r="J539" s="2871"/>
      <c r="M539" s="2864"/>
      <c r="N539" s="2864"/>
      <c r="O539" s="2864"/>
      <c r="P539" s="2864"/>
      <c r="Q539" s="2864"/>
    </row>
    <row r="540" spans="1:17" s="2879" customFormat="1" ht="15" hidden="1" customHeight="1">
      <c r="A540" s="3934"/>
      <c r="B540" s="3935"/>
      <c r="C540" s="3939"/>
      <c r="D540" s="3939"/>
      <c r="E540" s="2869" t="s">
        <v>955</v>
      </c>
      <c r="F540" s="2870">
        <f t="shared" si="62"/>
        <v>0</v>
      </c>
      <c r="G540" s="2870"/>
      <c r="H540" s="2870"/>
      <c r="I540" s="2870"/>
      <c r="J540" s="2871"/>
      <c r="M540" s="2864"/>
      <c r="N540" s="2864"/>
      <c r="O540" s="2864"/>
      <c r="P540" s="2864"/>
      <c r="Q540" s="2864"/>
    </row>
    <row r="541" spans="1:17" s="2879" customFormat="1" ht="15" customHeight="1">
      <c r="A541" s="3934"/>
      <c r="B541" s="3935"/>
      <c r="C541" s="3939"/>
      <c r="D541" s="3939"/>
      <c r="E541" s="2872" t="s">
        <v>1305</v>
      </c>
      <c r="F541" s="2867">
        <f>SUM(F542:F543)</f>
        <v>0</v>
      </c>
      <c r="G541" s="2867">
        <f>SUM(G542:G543)</f>
        <v>0</v>
      </c>
      <c r="H541" s="2867">
        <f>SUM(H542:H543)</f>
        <v>0</v>
      </c>
      <c r="I541" s="2867">
        <f>SUM(I542:I543)</f>
        <v>0</v>
      </c>
      <c r="J541" s="2868">
        <f>SUM(J542:J543)</f>
        <v>0</v>
      </c>
      <c r="M541" s="2864"/>
      <c r="N541" s="2864"/>
      <c r="O541" s="2864"/>
      <c r="P541" s="2864"/>
      <c r="Q541" s="2864"/>
    </row>
    <row r="542" spans="1:17" s="2864" customFormat="1" ht="15" hidden="1" customHeight="1">
      <c r="A542" s="2891"/>
      <c r="B542" s="2910"/>
      <c r="C542" s="2894"/>
      <c r="D542" s="2894"/>
      <c r="E542" s="2895"/>
      <c r="F542" s="2896">
        <f>SUM(G542:J542)</f>
        <v>0</v>
      </c>
      <c r="G542" s="2896"/>
      <c r="H542" s="2896"/>
      <c r="I542" s="2896"/>
      <c r="J542" s="2897"/>
    </row>
    <row r="543" spans="1:17" s="2864" customFormat="1" ht="15" hidden="1" customHeight="1">
      <c r="A543" s="2891"/>
      <c r="B543" s="2910"/>
      <c r="C543" s="2894"/>
      <c r="D543" s="2894"/>
      <c r="E543" s="2916"/>
      <c r="F543" s="2896">
        <f>SUM(G543:J543)</f>
        <v>0</v>
      </c>
      <c r="G543" s="2896"/>
      <c r="H543" s="2896"/>
      <c r="I543" s="2896"/>
      <c r="J543" s="2897"/>
    </row>
    <row r="544" spans="1:17" s="2879" customFormat="1" ht="22.5">
      <c r="A544" s="3910" t="s">
        <v>1360</v>
      </c>
      <c r="B544" s="3912" t="s">
        <v>1361</v>
      </c>
      <c r="C544" s="3927" t="s">
        <v>40</v>
      </c>
      <c r="D544" s="3927" t="s">
        <v>273</v>
      </c>
      <c r="E544" s="2861" t="s">
        <v>1304</v>
      </c>
      <c r="F544" s="2862">
        <f>SUM(F545,F564)</f>
        <v>22720</v>
      </c>
      <c r="G544" s="2862">
        <f>SUM(G545,G564)</f>
        <v>22720</v>
      </c>
      <c r="H544" s="2862">
        <f>SUM(H545,H564)</f>
        <v>0</v>
      </c>
      <c r="I544" s="2862">
        <f>SUM(I545,I564)</f>
        <v>0</v>
      </c>
      <c r="J544" s="2863">
        <f>SUM(J545,J564)</f>
        <v>0</v>
      </c>
      <c r="K544" s="2877"/>
      <c r="L544" s="2864"/>
      <c r="M544" s="2864"/>
      <c r="N544" s="2864"/>
      <c r="O544" s="2864"/>
      <c r="P544" s="2864"/>
      <c r="Q544" s="2864"/>
    </row>
    <row r="545" spans="1:17" s="2879" customFormat="1" ht="21">
      <c r="A545" s="3911"/>
      <c r="B545" s="3913"/>
      <c r="C545" s="3928"/>
      <c r="D545" s="3928"/>
      <c r="E545" s="2866" t="s">
        <v>1310</v>
      </c>
      <c r="F545" s="2867">
        <f>SUM(F546,F555)</f>
        <v>22720</v>
      </c>
      <c r="G545" s="2867">
        <f>SUM(G546,G555)</f>
        <v>22720</v>
      </c>
      <c r="H545" s="2867">
        <f>SUM(H546,H555)</f>
        <v>0</v>
      </c>
      <c r="I545" s="2867">
        <f>SUM(I546,I555)</f>
        <v>0</v>
      </c>
      <c r="J545" s="2868">
        <f>SUM(J546,J555)</f>
        <v>0</v>
      </c>
      <c r="K545" s="2878"/>
      <c r="L545" s="2864"/>
      <c r="M545" s="2864"/>
      <c r="N545" s="2864"/>
      <c r="O545" s="2864"/>
      <c r="P545" s="2864"/>
      <c r="Q545" s="2864"/>
    </row>
    <row r="546" spans="1:17" s="2879" customFormat="1" ht="22.5">
      <c r="A546" s="3911"/>
      <c r="B546" s="3913"/>
      <c r="C546" s="3928"/>
      <c r="D546" s="3928"/>
      <c r="E546" s="2880" t="s">
        <v>1311</v>
      </c>
      <c r="F546" s="2881">
        <f>SUM(F547:F554)</f>
        <v>10000</v>
      </c>
      <c r="G546" s="2881">
        <f>SUM(G547:G554)</f>
        <v>10000</v>
      </c>
      <c r="H546" s="2881">
        <f>SUM(H547:H554)</f>
        <v>0</v>
      </c>
      <c r="I546" s="2881">
        <f>SUM(I547:I554)</f>
        <v>0</v>
      </c>
      <c r="J546" s="2882">
        <f>SUM(J547:J554)</f>
        <v>0</v>
      </c>
      <c r="K546" s="2878"/>
      <c r="L546" s="2864"/>
      <c r="M546" s="2864"/>
      <c r="N546" s="2864"/>
      <c r="O546" s="2864"/>
      <c r="P546" s="2864"/>
      <c r="Q546" s="2864"/>
    </row>
    <row r="547" spans="1:17" s="2879" customFormat="1" ht="15" customHeight="1">
      <c r="A547" s="3911"/>
      <c r="B547" s="3913"/>
      <c r="C547" s="3928"/>
      <c r="D547" s="3928"/>
      <c r="E547" s="2869" t="s">
        <v>828</v>
      </c>
      <c r="F547" s="2870">
        <f t="shared" ref="F547:F554" si="63">SUM(G547:J547)</f>
        <v>7105</v>
      </c>
      <c r="G547" s="2870">
        <v>7105</v>
      </c>
      <c r="H547" s="2870"/>
      <c r="I547" s="2870"/>
      <c r="J547" s="2871"/>
      <c r="K547" s="2878"/>
      <c r="L547" s="2864"/>
      <c r="M547" s="2864"/>
      <c r="N547" s="2864"/>
      <c r="O547" s="2864"/>
      <c r="P547" s="2864"/>
      <c r="Q547" s="2864"/>
    </row>
    <row r="548" spans="1:17" s="2879" customFormat="1" ht="15" customHeight="1">
      <c r="A548" s="3911"/>
      <c r="B548" s="3913"/>
      <c r="C548" s="3928"/>
      <c r="D548" s="3928"/>
      <c r="E548" s="2869" t="s">
        <v>829</v>
      </c>
      <c r="F548" s="2870">
        <f t="shared" si="63"/>
        <v>1254</v>
      </c>
      <c r="G548" s="2870">
        <v>1254</v>
      </c>
      <c r="H548" s="2870"/>
      <c r="I548" s="2870"/>
      <c r="J548" s="2871"/>
      <c r="K548" s="2865"/>
      <c r="L548" s="2864"/>
      <c r="M548" s="2864"/>
      <c r="N548" s="2864"/>
      <c r="O548" s="2864"/>
      <c r="P548" s="2864"/>
      <c r="Q548" s="2864"/>
    </row>
    <row r="549" spans="1:17" s="2879" customFormat="1" ht="15" customHeight="1">
      <c r="A549" s="3911"/>
      <c r="B549" s="3913"/>
      <c r="C549" s="3928"/>
      <c r="D549" s="3928"/>
      <c r="E549" s="2869" t="s">
        <v>832</v>
      </c>
      <c r="F549" s="2870">
        <f t="shared" si="63"/>
        <v>1221</v>
      </c>
      <c r="G549" s="2870">
        <v>1221</v>
      </c>
      <c r="H549" s="2870"/>
      <c r="I549" s="2870"/>
      <c r="J549" s="2871"/>
      <c r="K549" s="2914"/>
      <c r="L549" s="2864"/>
      <c r="M549" s="2864"/>
      <c r="N549" s="2864"/>
      <c r="O549" s="2864"/>
      <c r="P549" s="2864"/>
      <c r="Q549" s="2864"/>
    </row>
    <row r="550" spans="1:17" s="2879" customFormat="1" ht="15" customHeight="1">
      <c r="A550" s="3911"/>
      <c r="B550" s="3913"/>
      <c r="C550" s="3928"/>
      <c r="D550" s="3928"/>
      <c r="E550" s="2869" t="s">
        <v>833</v>
      </c>
      <c r="F550" s="2870">
        <f t="shared" si="63"/>
        <v>216</v>
      </c>
      <c r="G550" s="2870">
        <v>216</v>
      </c>
      <c r="H550" s="2870"/>
      <c r="I550" s="2870"/>
      <c r="J550" s="2871"/>
      <c r="K550" s="2864"/>
      <c r="L550" s="2864"/>
      <c r="M550" s="2864"/>
      <c r="N550" s="2864"/>
      <c r="O550" s="2864"/>
      <c r="P550" s="2864"/>
      <c r="Q550" s="2864"/>
    </row>
    <row r="551" spans="1:17" s="2879" customFormat="1" ht="15" customHeight="1">
      <c r="A551" s="3911"/>
      <c r="B551" s="3913"/>
      <c r="C551" s="3928"/>
      <c r="D551" s="3928"/>
      <c r="E551" s="2869" t="s">
        <v>834</v>
      </c>
      <c r="F551" s="2870">
        <f t="shared" si="63"/>
        <v>173</v>
      </c>
      <c r="G551" s="2870">
        <v>173</v>
      </c>
      <c r="H551" s="2870"/>
      <c r="I551" s="2870"/>
      <c r="J551" s="2871"/>
      <c r="K551" s="2864"/>
      <c r="L551" s="2864"/>
      <c r="M551" s="2864"/>
      <c r="N551" s="2864"/>
      <c r="O551" s="2864"/>
      <c r="P551" s="2864"/>
      <c r="Q551" s="2864"/>
    </row>
    <row r="552" spans="1:17" s="2879" customFormat="1" ht="15" customHeight="1">
      <c r="A552" s="3911"/>
      <c r="B552" s="3913"/>
      <c r="C552" s="3928"/>
      <c r="D552" s="3928"/>
      <c r="E552" s="2869" t="s">
        <v>835</v>
      </c>
      <c r="F552" s="2870">
        <f t="shared" si="63"/>
        <v>31</v>
      </c>
      <c r="G552" s="2870">
        <v>31</v>
      </c>
      <c r="H552" s="2870"/>
      <c r="I552" s="2870"/>
      <c r="J552" s="2871"/>
      <c r="K552" s="2864"/>
      <c r="L552" s="2864"/>
      <c r="M552" s="2864"/>
      <c r="N552" s="2864"/>
      <c r="O552" s="2864"/>
      <c r="P552" s="2864"/>
      <c r="Q552" s="2864"/>
    </row>
    <row r="553" spans="1:17" s="2879" customFormat="1" ht="15" hidden="1" customHeight="1">
      <c r="A553" s="3911"/>
      <c r="B553" s="3913"/>
      <c r="C553" s="3928"/>
      <c r="D553" s="3928"/>
      <c r="E553" s="2869" t="s">
        <v>836</v>
      </c>
      <c r="F553" s="2870">
        <f t="shared" si="63"/>
        <v>0</v>
      </c>
      <c r="G553" s="2870"/>
      <c r="H553" s="2870"/>
      <c r="I553" s="2870"/>
      <c r="J553" s="2871"/>
      <c r="K553" s="2864"/>
      <c r="L553" s="2864"/>
      <c r="M553" s="2864"/>
      <c r="N553" s="2864"/>
      <c r="O553" s="2864"/>
      <c r="P553" s="2864"/>
      <c r="Q553" s="2864"/>
    </row>
    <row r="554" spans="1:17" s="2879" customFormat="1" ht="15" hidden="1" customHeight="1">
      <c r="A554" s="3911"/>
      <c r="B554" s="3913"/>
      <c r="C554" s="3928"/>
      <c r="D554" s="3928"/>
      <c r="E554" s="2869" t="s">
        <v>837</v>
      </c>
      <c r="F554" s="2870">
        <f t="shared" si="63"/>
        <v>0</v>
      </c>
      <c r="G554" s="2870"/>
      <c r="H554" s="2870"/>
      <c r="I554" s="2870"/>
      <c r="J554" s="2871"/>
      <c r="K554" s="2864"/>
      <c r="L554" s="2864"/>
      <c r="M554" s="2864"/>
      <c r="N554" s="2864"/>
      <c r="O554" s="2864"/>
      <c r="P554" s="2864"/>
      <c r="Q554" s="2864"/>
    </row>
    <row r="555" spans="1:17" s="2879" customFormat="1" ht="22.5">
      <c r="A555" s="3911"/>
      <c r="B555" s="3913"/>
      <c r="C555" s="3928"/>
      <c r="D555" s="3928"/>
      <c r="E555" s="2880" t="s">
        <v>1312</v>
      </c>
      <c r="F555" s="2881">
        <f>SUM(F556:F563)</f>
        <v>12720</v>
      </c>
      <c r="G555" s="2881">
        <f>SUM(G556:G563)</f>
        <v>12720</v>
      </c>
      <c r="H555" s="2881">
        <f>SUM(H556:H563)</f>
        <v>0</v>
      </c>
      <c r="I555" s="2881">
        <f>SUM(I556:I563)</f>
        <v>0</v>
      </c>
      <c r="J555" s="2882">
        <f>SUM(J556:J563)</f>
        <v>0</v>
      </c>
      <c r="K555" s="2865"/>
      <c r="L555" s="2864"/>
      <c r="M555" s="2864"/>
      <c r="N555" s="2864"/>
      <c r="O555" s="2864"/>
      <c r="P555" s="2864"/>
      <c r="Q555" s="2864"/>
    </row>
    <row r="556" spans="1:17" s="2879" customFormat="1" ht="15" customHeight="1">
      <c r="A556" s="3911"/>
      <c r="B556" s="3913"/>
      <c r="C556" s="3928"/>
      <c r="D556" s="3928"/>
      <c r="E556" s="2913" t="s">
        <v>841</v>
      </c>
      <c r="F556" s="2870">
        <f>SUM(G556:J556)</f>
        <v>10812</v>
      </c>
      <c r="G556" s="2870">
        <v>10812</v>
      </c>
      <c r="H556" s="2870"/>
      <c r="I556" s="2870"/>
      <c r="J556" s="2871"/>
      <c r="K556" s="2865"/>
      <c r="L556" s="2864"/>
      <c r="M556" s="2864"/>
      <c r="N556" s="2864"/>
      <c r="O556" s="2864"/>
      <c r="P556" s="2864"/>
      <c r="Q556" s="2864"/>
    </row>
    <row r="557" spans="1:17" s="2879" customFormat="1" ht="15" customHeight="1">
      <c r="A557" s="3911"/>
      <c r="B557" s="3913"/>
      <c r="C557" s="3928"/>
      <c r="D557" s="3928"/>
      <c r="E557" s="2913" t="s">
        <v>842</v>
      </c>
      <c r="F557" s="2870">
        <f t="shared" ref="F557:F558" si="64">SUM(G557:J557)</f>
        <v>1908</v>
      </c>
      <c r="G557" s="2870">
        <v>1908</v>
      </c>
      <c r="H557" s="2870"/>
      <c r="I557" s="2870"/>
      <c r="J557" s="2871"/>
      <c r="K557" s="2865"/>
      <c r="L557" s="2864"/>
      <c r="M557" s="2864"/>
      <c r="N557" s="2864"/>
      <c r="O557" s="2864"/>
      <c r="P557" s="2864"/>
      <c r="Q557" s="2864"/>
    </row>
    <row r="558" spans="1:17" s="2879" customFormat="1" ht="15" hidden="1" customHeight="1">
      <c r="A558" s="3911"/>
      <c r="B558" s="3913"/>
      <c r="C558" s="3928"/>
      <c r="D558" s="3928"/>
      <c r="E558" s="2869" t="s">
        <v>845</v>
      </c>
      <c r="F558" s="2870">
        <f t="shared" si="64"/>
        <v>0</v>
      </c>
      <c r="G558" s="2870"/>
      <c r="H558" s="2870"/>
      <c r="I558" s="2870"/>
      <c r="J558" s="2871"/>
      <c r="K558" s="2865"/>
      <c r="L558" s="2864"/>
      <c r="M558" s="2864"/>
      <c r="N558" s="2864"/>
      <c r="O558" s="2864"/>
      <c r="P558" s="2864"/>
      <c r="Q558" s="2864"/>
    </row>
    <row r="559" spans="1:17" s="2879" customFormat="1" ht="15" hidden="1" customHeight="1">
      <c r="A559" s="3911"/>
      <c r="B559" s="3913"/>
      <c r="C559" s="3928"/>
      <c r="D559" s="3928"/>
      <c r="E559" s="2869" t="s">
        <v>846</v>
      </c>
      <c r="F559" s="2870">
        <f>SUM(G559:J559)</f>
        <v>0</v>
      </c>
      <c r="G559" s="2870"/>
      <c r="H559" s="2870"/>
      <c r="I559" s="2870"/>
      <c r="J559" s="2871"/>
      <c r="K559" s="2865"/>
      <c r="L559" s="2864"/>
      <c r="M559" s="2864"/>
      <c r="N559" s="2864"/>
      <c r="O559" s="2864"/>
      <c r="P559" s="2864"/>
      <c r="Q559" s="2864"/>
    </row>
    <row r="560" spans="1:17" s="2879" customFormat="1" ht="15" hidden="1" customHeight="1">
      <c r="A560" s="3911"/>
      <c r="B560" s="3913"/>
      <c r="C560" s="3928"/>
      <c r="D560" s="3928"/>
      <c r="E560" s="2869" t="s">
        <v>849</v>
      </c>
      <c r="F560" s="2870">
        <f t="shared" ref="F560:F563" si="65">SUM(G560:J560)</f>
        <v>0</v>
      </c>
      <c r="G560" s="2870"/>
      <c r="H560" s="2870"/>
      <c r="I560" s="2870"/>
      <c r="J560" s="2871"/>
      <c r="K560" s="2864"/>
      <c r="L560" s="2864"/>
      <c r="M560" s="2864"/>
      <c r="N560" s="2864"/>
      <c r="O560" s="2864"/>
      <c r="P560" s="2864"/>
      <c r="Q560" s="2864"/>
    </row>
    <row r="561" spans="1:17" s="2879" customFormat="1" ht="15" hidden="1" customHeight="1">
      <c r="A561" s="3911"/>
      <c r="B561" s="3913"/>
      <c r="C561" s="3928"/>
      <c r="D561" s="3928"/>
      <c r="E561" s="2869" t="s">
        <v>850</v>
      </c>
      <c r="F561" s="2870">
        <f t="shared" si="65"/>
        <v>0</v>
      </c>
      <c r="G561" s="2870"/>
      <c r="H561" s="2870"/>
      <c r="I561" s="2870"/>
      <c r="J561" s="2871"/>
      <c r="K561" s="2864"/>
      <c r="L561" s="2864"/>
      <c r="M561" s="2864"/>
      <c r="N561" s="2864"/>
      <c r="O561" s="2864"/>
      <c r="P561" s="2864"/>
      <c r="Q561" s="2864"/>
    </row>
    <row r="562" spans="1:17" s="2879" customFormat="1" ht="15" hidden="1" customHeight="1">
      <c r="A562" s="3911"/>
      <c r="B562" s="3913"/>
      <c r="C562" s="3928"/>
      <c r="D562" s="3928"/>
      <c r="E562" s="2869" t="s">
        <v>954</v>
      </c>
      <c r="F562" s="2870">
        <f t="shared" si="65"/>
        <v>0</v>
      </c>
      <c r="G562" s="2870"/>
      <c r="H562" s="2870"/>
      <c r="I562" s="2870"/>
      <c r="J562" s="2871"/>
      <c r="K562" s="2864"/>
      <c r="L562" s="2864"/>
      <c r="M562" s="2864"/>
      <c r="N562" s="2864"/>
      <c r="O562" s="2864"/>
      <c r="P562" s="2864"/>
      <c r="Q562" s="2864"/>
    </row>
    <row r="563" spans="1:17" s="2879" customFormat="1" ht="15" hidden="1" customHeight="1">
      <c r="A563" s="3911"/>
      <c r="B563" s="3913"/>
      <c r="C563" s="3928"/>
      <c r="D563" s="3928"/>
      <c r="E563" s="2869" t="s">
        <v>955</v>
      </c>
      <c r="F563" s="2870">
        <f t="shared" si="65"/>
        <v>0</v>
      </c>
      <c r="G563" s="2870"/>
      <c r="H563" s="2870"/>
      <c r="I563" s="2870"/>
      <c r="J563" s="2871"/>
      <c r="K563" s="2864"/>
      <c r="L563" s="2864"/>
      <c r="M563" s="2864"/>
      <c r="N563" s="2864"/>
      <c r="O563" s="2864"/>
      <c r="P563" s="2864"/>
      <c r="Q563" s="2864"/>
    </row>
    <row r="564" spans="1:17" s="2879" customFormat="1" ht="15" customHeight="1">
      <c r="A564" s="3920"/>
      <c r="B564" s="3937"/>
      <c r="C564" s="3929"/>
      <c r="D564" s="3929"/>
      <c r="E564" s="2872" t="s">
        <v>1305</v>
      </c>
      <c r="F564" s="2867">
        <f>SUM(F565:F566)</f>
        <v>0</v>
      </c>
      <c r="G564" s="2867">
        <f>SUM(G565:G566)</f>
        <v>0</v>
      </c>
      <c r="H564" s="2867">
        <f>SUM(H565:H566)</f>
        <v>0</v>
      </c>
      <c r="I564" s="2867">
        <f>SUM(I565:I566)</f>
        <v>0</v>
      </c>
      <c r="J564" s="2868">
        <f>SUM(J565:J566)</f>
        <v>0</v>
      </c>
      <c r="K564" s="2864"/>
      <c r="L564" s="2864"/>
      <c r="M564" s="2864"/>
      <c r="N564" s="2864"/>
      <c r="O564" s="2864"/>
      <c r="P564" s="2864"/>
      <c r="Q564" s="2864"/>
    </row>
    <row r="565" spans="1:17" s="2864" customFormat="1" ht="15" hidden="1" customHeight="1">
      <c r="A565" s="2891"/>
      <c r="B565" s="2910"/>
      <c r="C565" s="2894"/>
      <c r="D565" s="2894"/>
      <c r="E565" s="2895" t="s">
        <v>933</v>
      </c>
      <c r="F565" s="2896">
        <f>SUM(G565:J565)</f>
        <v>0</v>
      </c>
      <c r="G565" s="2896"/>
      <c r="H565" s="2896"/>
      <c r="I565" s="2896"/>
      <c r="J565" s="2897"/>
    </row>
    <row r="566" spans="1:17" s="2864" customFormat="1" ht="15" hidden="1" customHeight="1">
      <c r="A566" s="2891"/>
      <c r="B566" s="2910"/>
      <c r="C566" s="2894"/>
      <c r="D566" s="2894"/>
      <c r="E566" s="2916">
        <v>6069</v>
      </c>
      <c r="F566" s="2896">
        <f>SUM(G566:J566)</f>
        <v>0</v>
      </c>
      <c r="G566" s="2896"/>
      <c r="H566" s="2896"/>
      <c r="I566" s="2896"/>
      <c r="J566" s="2897"/>
    </row>
    <row r="567" spans="1:17" s="2864" customFormat="1" ht="22.5">
      <c r="A567" s="3910" t="s">
        <v>1362</v>
      </c>
      <c r="B567" s="3912" t="s">
        <v>1363</v>
      </c>
      <c r="C567" s="3927" t="s">
        <v>40</v>
      </c>
      <c r="D567" s="3927" t="s">
        <v>1043</v>
      </c>
      <c r="E567" s="2861" t="s">
        <v>1304</v>
      </c>
      <c r="F567" s="2862">
        <f>SUM(F568,F592)</f>
        <v>152288</v>
      </c>
      <c r="G567" s="2862">
        <f>SUM(G568,G592)</f>
        <v>152288</v>
      </c>
      <c r="H567" s="2862">
        <f>SUM(H568,H592)</f>
        <v>0</v>
      </c>
      <c r="I567" s="2862">
        <f>SUM(I568,I592)</f>
        <v>0</v>
      </c>
      <c r="J567" s="2863">
        <f>SUM(J568,J592)</f>
        <v>0</v>
      </c>
      <c r="K567" s="2877"/>
    </row>
    <row r="568" spans="1:17" s="2864" customFormat="1" ht="21">
      <c r="A568" s="3911"/>
      <c r="B568" s="3913"/>
      <c r="C568" s="3928"/>
      <c r="D568" s="3928"/>
      <c r="E568" s="2866" t="s">
        <v>1310</v>
      </c>
      <c r="F568" s="2867">
        <f>SUM(F569,F578)</f>
        <v>152288</v>
      </c>
      <c r="G568" s="2867">
        <f>SUM(G569,G578)</f>
        <v>152288</v>
      </c>
      <c r="H568" s="2867">
        <f>SUM(H569,H578)</f>
        <v>0</v>
      </c>
      <c r="I568" s="2867">
        <f>SUM(I569,I578)</f>
        <v>0</v>
      </c>
      <c r="J568" s="2868">
        <f>SUM(J569,J578)</f>
        <v>0</v>
      </c>
      <c r="K568" s="2878"/>
    </row>
    <row r="569" spans="1:17" s="2864" customFormat="1" ht="22.5">
      <c r="A569" s="3911"/>
      <c r="B569" s="3913"/>
      <c r="C569" s="3928"/>
      <c r="D569" s="3928"/>
      <c r="E569" s="2880" t="s">
        <v>1311</v>
      </c>
      <c r="F569" s="2881">
        <f>SUM(F570:F577)</f>
        <v>93497</v>
      </c>
      <c r="G569" s="2881">
        <f>SUM(G570:G577)</f>
        <v>93497</v>
      </c>
      <c r="H569" s="2881">
        <f>SUM(H570:H577)</f>
        <v>0</v>
      </c>
      <c r="I569" s="2881">
        <f>SUM(I570:I577)</f>
        <v>0</v>
      </c>
      <c r="J569" s="2882">
        <f>SUM(J570:J577)</f>
        <v>0</v>
      </c>
      <c r="K569" s="2878"/>
    </row>
    <row r="570" spans="1:17" s="2864" customFormat="1" ht="15" customHeight="1">
      <c r="A570" s="3911"/>
      <c r="B570" s="3913"/>
      <c r="C570" s="3928"/>
      <c r="D570" s="3928"/>
      <c r="E570" s="2869" t="s">
        <v>828</v>
      </c>
      <c r="F570" s="2870">
        <f t="shared" ref="F570:F577" si="66">SUM(G570:J570)</f>
        <v>62163</v>
      </c>
      <c r="G570" s="2870">
        <v>62163</v>
      </c>
      <c r="H570" s="2870"/>
      <c r="I570" s="2870"/>
      <c r="J570" s="2871"/>
      <c r="K570" s="2865"/>
    </row>
    <row r="571" spans="1:17" s="2864" customFormat="1" ht="15" customHeight="1">
      <c r="A571" s="3911"/>
      <c r="B571" s="3913"/>
      <c r="C571" s="3928"/>
      <c r="D571" s="3928"/>
      <c r="E571" s="2869" t="s">
        <v>829</v>
      </c>
      <c r="F571" s="2870">
        <f t="shared" si="66"/>
        <v>10970</v>
      </c>
      <c r="G571" s="2870">
        <v>10970</v>
      </c>
      <c r="H571" s="2870"/>
      <c r="I571" s="2870"/>
      <c r="J571" s="2871"/>
      <c r="K571" s="2865"/>
    </row>
    <row r="572" spans="1:17" s="2864" customFormat="1" ht="15" customHeight="1">
      <c r="A572" s="3911"/>
      <c r="B572" s="3913"/>
      <c r="C572" s="3928"/>
      <c r="D572" s="3928"/>
      <c r="E572" s="2869" t="s">
        <v>830</v>
      </c>
      <c r="F572" s="2870">
        <f t="shared" si="66"/>
        <v>5100</v>
      </c>
      <c r="G572" s="2870">
        <v>5100</v>
      </c>
      <c r="H572" s="2870"/>
      <c r="I572" s="2870"/>
      <c r="J572" s="2871"/>
      <c r="K572" s="2865"/>
    </row>
    <row r="573" spans="1:17" s="2864" customFormat="1" ht="15" customHeight="1">
      <c r="A573" s="3911"/>
      <c r="B573" s="3913"/>
      <c r="C573" s="3928"/>
      <c r="D573" s="3928"/>
      <c r="E573" s="2869" t="s">
        <v>831</v>
      </c>
      <c r="F573" s="2870">
        <f t="shared" si="66"/>
        <v>900</v>
      </c>
      <c r="G573" s="2870">
        <v>900</v>
      </c>
      <c r="H573" s="2870"/>
      <c r="I573" s="2870"/>
      <c r="J573" s="2871"/>
      <c r="K573" s="2865"/>
    </row>
    <row r="574" spans="1:17" s="2864" customFormat="1" ht="15" customHeight="1">
      <c r="A574" s="3911"/>
      <c r="B574" s="3913"/>
      <c r="C574" s="3928"/>
      <c r="D574" s="3928"/>
      <c r="E574" s="2869" t="s">
        <v>832</v>
      </c>
      <c r="F574" s="2870">
        <f t="shared" si="66"/>
        <v>10686</v>
      </c>
      <c r="G574" s="2870">
        <v>10686</v>
      </c>
      <c r="H574" s="2870"/>
      <c r="I574" s="2870"/>
      <c r="J574" s="2871"/>
      <c r="K574" s="2914"/>
    </row>
    <row r="575" spans="1:17" s="2864" customFormat="1" ht="15" customHeight="1">
      <c r="A575" s="3911"/>
      <c r="B575" s="3913"/>
      <c r="C575" s="3928"/>
      <c r="D575" s="3928"/>
      <c r="E575" s="2869" t="s">
        <v>833</v>
      </c>
      <c r="F575" s="2870">
        <f t="shared" si="66"/>
        <v>1886</v>
      </c>
      <c r="G575" s="2870">
        <v>1886</v>
      </c>
      <c r="H575" s="2870"/>
      <c r="I575" s="2870"/>
      <c r="J575" s="2871"/>
    </row>
    <row r="576" spans="1:17" s="2864" customFormat="1" ht="15" customHeight="1">
      <c r="A576" s="3911"/>
      <c r="B576" s="3913"/>
      <c r="C576" s="3928"/>
      <c r="D576" s="3928"/>
      <c r="E576" s="2869" t="s">
        <v>834</v>
      </c>
      <c r="F576" s="2870">
        <f t="shared" si="66"/>
        <v>1523</v>
      </c>
      <c r="G576" s="2870">
        <v>1523</v>
      </c>
      <c r="H576" s="2870"/>
      <c r="I576" s="2870"/>
      <c r="J576" s="2871"/>
    </row>
    <row r="577" spans="1:10" s="2864" customFormat="1" ht="15" customHeight="1">
      <c r="A577" s="3911"/>
      <c r="B577" s="3913"/>
      <c r="C577" s="3928"/>
      <c r="D577" s="3928"/>
      <c r="E577" s="2869" t="s">
        <v>835</v>
      </c>
      <c r="F577" s="2870">
        <f t="shared" si="66"/>
        <v>269</v>
      </c>
      <c r="G577" s="2870">
        <v>269</v>
      </c>
      <c r="H577" s="2870"/>
      <c r="I577" s="2870"/>
      <c r="J577" s="2871"/>
    </row>
    <row r="578" spans="1:10" s="2864" customFormat="1" ht="22.5">
      <c r="A578" s="3911"/>
      <c r="B578" s="3913"/>
      <c r="C578" s="3928"/>
      <c r="D578" s="3928"/>
      <c r="E578" s="2880" t="s">
        <v>1312</v>
      </c>
      <c r="F578" s="2881">
        <f>SUM(F579:F591)</f>
        <v>58791</v>
      </c>
      <c r="G578" s="2881">
        <f>SUM(G579:G591)</f>
        <v>58791</v>
      </c>
      <c r="H578" s="2881">
        <f>SUM(H579:H591)</f>
        <v>0</v>
      </c>
      <c r="I578" s="2881">
        <f>SUM(I579:I591)</f>
        <v>0</v>
      </c>
      <c r="J578" s="2882">
        <f>SUM(J579:J591)</f>
        <v>0</v>
      </c>
    </row>
    <row r="579" spans="1:10" s="2864" customFormat="1" ht="15" customHeight="1">
      <c r="A579" s="3911"/>
      <c r="B579" s="3913"/>
      <c r="C579" s="3928"/>
      <c r="D579" s="3928"/>
      <c r="E579" s="2869" t="s">
        <v>841</v>
      </c>
      <c r="F579" s="2870">
        <f t="shared" ref="F579:F591" si="67">SUM(G579:J579)</f>
        <v>9346</v>
      </c>
      <c r="G579" s="2870">
        <v>9346</v>
      </c>
      <c r="H579" s="2870"/>
      <c r="I579" s="2870"/>
      <c r="J579" s="2871"/>
    </row>
    <row r="580" spans="1:10" s="2864" customFormat="1" ht="15" customHeight="1">
      <c r="A580" s="3911"/>
      <c r="B580" s="3913"/>
      <c r="C580" s="3928"/>
      <c r="D580" s="3928"/>
      <c r="E580" s="2869" t="s">
        <v>842</v>
      </c>
      <c r="F580" s="2870">
        <f t="shared" si="67"/>
        <v>1649</v>
      </c>
      <c r="G580" s="2870">
        <v>1649</v>
      </c>
      <c r="H580" s="2870"/>
      <c r="I580" s="2870"/>
      <c r="J580" s="2871"/>
    </row>
    <row r="581" spans="1:10" s="2864" customFormat="1" ht="15" customHeight="1">
      <c r="A581" s="3911"/>
      <c r="B581" s="3913"/>
      <c r="C581" s="3928"/>
      <c r="D581" s="3928"/>
      <c r="E581" s="2869" t="s">
        <v>845</v>
      </c>
      <c r="F581" s="2870">
        <f t="shared" si="67"/>
        <v>34677</v>
      </c>
      <c r="G581" s="2870">
        <v>34677</v>
      </c>
      <c r="H581" s="2870"/>
      <c r="I581" s="2870"/>
      <c r="J581" s="2871"/>
    </row>
    <row r="582" spans="1:10" s="2864" customFormat="1" ht="15" customHeight="1">
      <c r="A582" s="3911"/>
      <c r="B582" s="3913"/>
      <c r="C582" s="3928"/>
      <c r="D582" s="3928"/>
      <c r="E582" s="2869" t="s">
        <v>846</v>
      </c>
      <c r="F582" s="2870">
        <f t="shared" si="67"/>
        <v>6119</v>
      </c>
      <c r="G582" s="2870">
        <v>6119</v>
      </c>
      <c r="H582" s="2870"/>
      <c r="I582" s="2870"/>
      <c r="J582" s="2871"/>
    </row>
    <row r="583" spans="1:10" s="2864" customFormat="1" ht="15" customHeight="1">
      <c r="A583" s="3911"/>
      <c r="B583" s="3913"/>
      <c r="C583" s="3928"/>
      <c r="D583" s="3928"/>
      <c r="E583" s="2869" t="s">
        <v>952</v>
      </c>
      <c r="F583" s="2870">
        <f t="shared" si="67"/>
        <v>850</v>
      </c>
      <c r="G583" s="2870">
        <v>850</v>
      </c>
      <c r="H583" s="2870"/>
      <c r="I583" s="2870"/>
      <c r="J583" s="2871"/>
    </row>
    <row r="584" spans="1:10" s="2864" customFormat="1" ht="15" customHeight="1">
      <c r="A584" s="3911"/>
      <c r="B584" s="3913"/>
      <c r="C584" s="3928"/>
      <c r="D584" s="3928"/>
      <c r="E584" s="2869" t="s">
        <v>953</v>
      </c>
      <c r="F584" s="2870">
        <f t="shared" si="67"/>
        <v>150</v>
      </c>
      <c r="G584" s="2870">
        <v>150</v>
      </c>
      <c r="H584" s="2870"/>
      <c r="I584" s="2870"/>
      <c r="J584" s="2871"/>
    </row>
    <row r="585" spans="1:10" s="2864" customFormat="1" ht="15" customHeight="1">
      <c r="A585" s="3911"/>
      <c r="B585" s="3913"/>
      <c r="C585" s="3928"/>
      <c r="D585" s="3928"/>
      <c r="E585" s="2869" t="s">
        <v>849</v>
      </c>
      <c r="F585" s="2870">
        <f t="shared" si="67"/>
        <v>2975</v>
      </c>
      <c r="G585" s="2870">
        <v>2975</v>
      </c>
      <c r="H585" s="2870"/>
      <c r="I585" s="2870"/>
      <c r="J585" s="2871"/>
    </row>
    <row r="586" spans="1:10" s="2864" customFormat="1" ht="15" customHeight="1">
      <c r="A586" s="3911"/>
      <c r="B586" s="3913"/>
      <c r="C586" s="3928"/>
      <c r="D586" s="3928"/>
      <c r="E586" s="2869" t="s">
        <v>850</v>
      </c>
      <c r="F586" s="2870">
        <f t="shared" si="67"/>
        <v>525</v>
      </c>
      <c r="G586" s="2870">
        <v>525</v>
      </c>
      <c r="H586" s="2870"/>
      <c r="I586" s="2870"/>
      <c r="J586" s="2871"/>
    </row>
    <row r="587" spans="1:10" s="2864" customFormat="1" ht="15" customHeight="1">
      <c r="A587" s="3911"/>
      <c r="B587" s="3913"/>
      <c r="C587" s="3928"/>
      <c r="D587" s="3928"/>
      <c r="E587" s="2869" t="s">
        <v>954</v>
      </c>
      <c r="F587" s="2870">
        <f t="shared" si="67"/>
        <v>2125</v>
      </c>
      <c r="G587" s="2870">
        <v>2125</v>
      </c>
      <c r="H587" s="2870"/>
      <c r="I587" s="2870"/>
      <c r="J587" s="2871"/>
    </row>
    <row r="588" spans="1:10" s="2864" customFormat="1" ht="15" customHeight="1">
      <c r="A588" s="3911"/>
      <c r="B588" s="3913"/>
      <c r="C588" s="3928"/>
      <c r="D588" s="3928"/>
      <c r="E588" s="2869" t="s">
        <v>955</v>
      </c>
      <c r="F588" s="2870">
        <f t="shared" si="67"/>
        <v>375</v>
      </c>
      <c r="G588" s="2870">
        <v>375</v>
      </c>
      <c r="H588" s="2870"/>
      <c r="I588" s="2870"/>
      <c r="J588" s="2871"/>
    </row>
    <row r="589" spans="1:10" s="2864" customFormat="1" ht="15" hidden="1" customHeight="1">
      <c r="A589" s="3911"/>
      <c r="B589" s="3913"/>
      <c r="C589" s="3928"/>
      <c r="D589" s="3928"/>
      <c r="E589" s="2869" t="s">
        <v>853</v>
      </c>
      <c r="F589" s="2870">
        <f t="shared" si="67"/>
        <v>0</v>
      </c>
      <c r="G589" s="2870"/>
      <c r="H589" s="2870"/>
      <c r="I589" s="2870"/>
      <c r="J589" s="2871"/>
    </row>
    <row r="590" spans="1:10" s="2864" customFormat="1" ht="15" hidden="1" customHeight="1">
      <c r="A590" s="3911"/>
      <c r="B590" s="3913"/>
      <c r="C590" s="3928"/>
      <c r="D590" s="3928"/>
      <c r="E590" s="2869" t="s">
        <v>854</v>
      </c>
      <c r="F590" s="2870">
        <f t="shared" si="67"/>
        <v>0</v>
      </c>
      <c r="G590" s="2870"/>
      <c r="H590" s="2870"/>
      <c r="I590" s="2870"/>
      <c r="J590" s="2871"/>
    </row>
    <row r="591" spans="1:10" s="2864" customFormat="1" ht="15" hidden="1" customHeight="1">
      <c r="A591" s="3911"/>
      <c r="B591" s="3913"/>
      <c r="C591" s="3928"/>
      <c r="D591" s="3928"/>
      <c r="E591" s="2869" t="s">
        <v>881</v>
      </c>
      <c r="F591" s="2870">
        <f t="shared" si="67"/>
        <v>0</v>
      </c>
      <c r="G591" s="2870"/>
      <c r="H591" s="2870"/>
      <c r="I591" s="2870"/>
      <c r="J591" s="2871"/>
    </row>
    <row r="592" spans="1:10" s="2864" customFormat="1" ht="15" customHeight="1">
      <c r="A592" s="3920"/>
      <c r="B592" s="3937"/>
      <c r="C592" s="3929"/>
      <c r="D592" s="3929"/>
      <c r="E592" s="2872" t="s">
        <v>1305</v>
      </c>
      <c r="F592" s="2867">
        <f>SUM(F593:F593)</f>
        <v>0</v>
      </c>
      <c r="G592" s="2867">
        <f>SUM(G593:G593)</f>
        <v>0</v>
      </c>
      <c r="H592" s="2867">
        <f>SUM(H593:H593)</f>
        <v>0</v>
      </c>
      <c r="I592" s="2867">
        <f>SUM(I593:I593)</f>
        <v>0</v>
      </c>
      <c r="J592" s="2868">
        <f>SUM(J593:J593)</f>
        <v>0</v>
      </c>
    </row>
    <row r="593" spans="1:11" s="2864" customFormat="1" ht="15" hidden="1" customHeight="1">
      <c r="A593" s="2891"/>
      <c r="B593" s="2910"/>
      <c r="C593" s="2894"/>
      <c r="D593" s="2894"/>
      <c r="E593" s="2916"/>
      <c r="F593" s="2896">
        <f>SUM(G593:J593)</f>
        <v>0</v>
      </c>
      <c r="G593" s="2896"/>
      <c r="H593" s="2896"/>
      <c r="I593" s="2896"/>
      <c r="J593" s="2897"/>
    </row>
    <row r="594" spans="1:11" s="2864" customFormat="1" ht="15" hidden="1" customHeight="1">
      <c r="A594" s="3940" t="s">
        <v>1364</v>
      </c>
      <c r="B594" s="3943" t="s">
        <v>1365</v>
      </c>
      <c r="C594" s="3949" t="s">
        <v>40</v>
      </c>
      <c r="D594" s="3949" t="s">
        <v>1043</v>
      </c>
      <c r="E594" s="2898" t="s">
        <v>1304</v>
      </c>
      <c r="F594" s="2899">
        <f>SUM(F595,F614)</f>
        <v>0</v>
      </c>
      <c r="G594" s="2899">
        <f>SUM(G595,G614)</f>
        <v>0</v>
      </c>
      <c r="H594" s="2899">
        <f>SUM(H595,H614)</f>
        <v>0</v>
      </c>
      <c r="I594" s="2899">
        <f>SUM(I595,I614)</f>
        <v>0</v>
      </c>
      <c r="J594" s="2900">
        <f>SUM(J595,J614)</f>
        <v>0</v>
      </c>
    </row>
    <row r="595" spans="1:11" s="2864" customFormat="1" ht="15" hidden="1" customHeight="1">
      <c r="A595" s="3941"/>
      <c r="B595" s="3944"/>
      <c r="C595" s="3950"/>
      <c r="D595" s="3950"/>
      <c r="E595" s="2901" t="s">
        <v>1310</v>
      </c>
      <c r="F595" s="2902">
        <f>SUM(F596,F602)</f>
        <v>0</v>
      </c>
      <c r="G595" s="2902">
        <f>SUM(G596,G602)</f>
        <v>0</v>
      </c>
      <c r="H595" s="2902">
        <f>SUM(H596,H602)</f>
        <v>0</v>
      </c>
      <c r="I595" s="2902">
        <f>SUM(I596,I602)</f>
        <v>0</v>
      </c>
      <c r="J595" s="2903">
        <f>SUM(J596,J602)</f>
        <v>0</v>
      </c>
    </row>
    <row r="596" spans="1:11" s="2864" customFormat="1" ht="15" hidden="1" customHeight="1">
      <c r="A596" s="3941"/>
      <c r="B596" s="3944"/>
      <c r="C596" s="3950"/>
      <c r="D596" s="3950"/>
      <c r="E596" s="2904" t="s">
        <v>1311</v>
      </c>
      <c r="F596" s="2905">
        <f>SUM(F597:F601)</f>
        <v>0</v>
      </c>
      <c r="G596" s="2905">
        <f>SUM(G597:G601)</f>
        <v>0</v>
      </c>
      <c r="H596" s="2905">
        <f>SUM(H597:H601)</f>
        <v>0</v>
      </c>
      <c r="I596" s="2905">
        <f>SUM(I597:I601)</f>
        <v>0</v>
      </c>
      <c r="J596" s="2906">
        <f>SUM(J597:J601)</f>
        <v>0</v>
      </c>
    </row>
    <row r="597" spans="1:11" s="2864" customFormat="1" ht="15" hidden="1" customHeight="1">
      <c r="A597" s="3941"/>
      <c r="B597" s="3944"/>
      <c r="C597" s="3950"/>
      <c r="D597" s="3950"/>
      <c r="E597" s="2895" t="s">
        <v>828</v>
      </c>
      <c r="F597" s="2896">
        <f t="shared" ref="F597:F601" si="68">SUM(G597:J597)</f>
        <v>0</v>
      </c>
      <c r="G597" s="2896"/>
      <c r="H597" s="2896"/>
      <c r="I597" s="2896"/>
      <c r="J597" s="2897"/>
      <c r="K597" s="2865"/>
    </row>
    <row r="598" spans="1:11" s="2864" customFormat="1" ht="15" hidden="1" customHeight="1">
      <c r="A598" s="3941"/>
      <c r="B598" s="3944"/>
      <c r="C598" s="3950"/>
      <c r="D598" s="3950"/>
      <c r="E598" s="2895" t="s">
        <v>830</v>
      </c>
      <c r="F598" s="2896">
        <f t="shared" si="68"/>
        <v>0</v>
      </c>
      <c r="G598" s="2896"/>
      <c r="H598" s="2896"/>
      <c r="I598" s="2896"/>
      <c r="J598" s="2897"/>
    </row>
    <row r="599" spans="1:11" s="2864" customFormat="1" ht="15" hidden="1" customHeight="1">
      <c r="A599" s="3941"/>
      <c r="B599" s="3944"/>
      <c r="C599" s="3950"/>
      <c r="D599" s="3950"/>
      <c r="E599" s="2895" t="s">
        <v>832</v>
      </c>
      <c r="F599" s="2896">
        <f t="shared" si="68"/>
        <v>0</v>
      </c>
      <c r="G599" s="2896"/>
      <c r="H599" s="2896"/>
      <c r="I599" s="2896"/>
      <c r="J599" s="2897"/>
    </row>
    <row r="600" spans="1:11" s="2864" customFormat="1" ht="15" hidden="1" customHeight="1">
      <c r="A600" s="3941"/>
      <c r="B600" s="3944"/>
      <c r="C600" s="3950"/>
      <c r="D600" s="3950"/>
      <c r="E600" s="2895" t="s">
        <v>834</v>
      </c>
      <c r="F600" s="2896">
        <f t="shared" si="68"/>
        <v>0</v>
      </c>
      <c r="G600" s="2896"/>
      <c r="H600" s="2896"/>
      <c r="I600" s="2896"/>
      <c r="J600" s="2897"/>
    </row>
    <row r="601" spans="1:11" s="2864" customFormat="1" ht="15" hidden="1" customHeight="1">
      <c r="A601" s="3941"/>
      <c r="B601" s="3944"/>
      <c r="C601" s="3950"/>
      <c r="D601" s="3950"/>
      <c r="E601" s="2895" t="s">
        <v>855</v>
      </c>
      <c r="F601" s="2896">
        <f t="shared" si="68"/>
        <v>0</v>
      </c>
      <c r="G601" s="2896"/>
      <c r="H601" s="2896"/>
      <c r="I601" s="2896"/>
      <c r="J601" s="2897"/>
    </row>
    <row r="602" spans="1:11" s="2864" customFormat="1" ht="15" hidden="1" customHeight="1">
      <c r="A602" s="3941"/>
      <c r="B602" s="3944"/>
      <c r="C602" s="3950"/>
      <c r="D602" s="3950"/>
      <c r="E602" s="2904" t="s">
        <v>1312</v>
      </c>
      <c r="F602" s="2905">
        <f>SUM(F603:F613)</f>
        <v>0</v>
      </c>
      <c r="G602" s="2905">
        <f>SUM(G603:G613)</f>
        <v>0</v>
      </c>
      <c r="H602" s="2905">
        <f>SUM(H603:H613)</f>
        <v>0</v>
      </c>
      <c r="I602" s="2905">
        <f>SUM(I603:I613)</f>
        <v>0</v>
      </c>
      <c r="J602" s="2906">
        <f>SUM(J603:J613)</f>
        <v>0</v>
      </c>
    </row>
    <row r="603" spans="1:11" s="2864" customFormat="1" ht="15" hidden="1" customHeight="1">
      <c r="A603" s="3941"/>
      <c r="B603" s="3944"/>
      <c r="C603" s="3950"/>
      <c r="D603" s="3950"/>
      <c r="E603" s="2895" t="s">
        <v>841</v>
      </c>
      <c r="F603" s="2896">
        <f t="shared" ref="F603:F613" si="69">SUM(G603:J603)</f>
        <v>0</v>
      </c>
      <c r="G603" s="2896"/>
      <c r="H603" s="2896"/>
      <c r="I603" s="2896"/>
      <c r="J603" s="2897"/>
    </row>
    <row r="604" spans="1:11" s="2864" customFormat="1" ht="15" hidden="1" customHeight="1">
      <c r="A604" s="3941"/>
      <c r="B604" s="3944"/>
      <c r="C604" s="3950"/>
      <c r="D604" s="3950"/>
      <c r="E604" s="2895" t="s">
        <v>1049</v>
      </c>
      <c r="F604" s="2896">
        <f t="shared" si="69"/>
        <v>0</v>
      </c>
      <c r="G604" s="2896"/>
      <c r="H604" s="2896"/>
      <c r="I604" s="2896"/>
      <c r="J604" s="2897"/>
    </row>
    <row r="605" spans="1:11" s="2864" customFormat="1" ht="15" hidden="1" customHeight="1">
      <c r="A605" s="3941"/>
      <c r="B605" s="3944"/>
      <c r="C605" s="3950"/>
      <c r="D605" s="3950"/>
      <c r="E605" s="2895" t="s">
        <v>1023</v>
      </c>
      <c r="F605" s="2896">
        <f t="shared" si="69"/>
        <v>0</v>
      </c>
      <c r="G605" s="2896"/>
      <c r="H605" s="2896"/>
      <c r="I605" s="2896"/>
      <c r="J605" s="2897"/>
    </row>
    <row r="606" spans="1:11" s="2864" customFormat="1" ht="15" hidden="1" customHeight="1">
      <c r="A606" s="3941"/>
      <c r="B606" s="3944"/>
      <c r="C606" s="3950"/>
      <c r="D606" s="3950"/>
      <c r="E606" s="2895" t="s">
        <v>843</v>
      </c>
      <c r="F606" s="2896">
        <f t="shared" si="69"/>
        <v>0</v>
      </c>
      <c r="G606" s="2896"/>
      <c r="H606" s="2896"/>
      <c r="I606" s="2896"/>
      <c r="J606" s="2897"/>
    </row>
    <row r="607" spans="1:11" s="2864" customFormat="1" ht="15" hidden="1" customHeight="1">
      <c r="A607" s="3941"/>
      <c r="B607" s="3944"/>
      <c r="C607" s="3950"/>
      <c r="D607" s="3950"/>
      <c r="E607" s="2895" t="s">
        <v>845</v>
      </c>
      <c r="F607" s="2896">
        <f t="shared" si="69"/>
        <v>0</v>
      </c>
      <c r="G607" s="2896"/>
      <c r="H607" s="2896"/>
      <c r="I607" s="2896"/>
      <c r="J607" s="2897"/>
    </row>
    <row r="608" spans="1:11" s="2864" customFormat="1" ht="15" hidden="1" customHeight="1">
      <c r="A608" s="3941"/>
      <c r="B608" s="3944"/>
      <c r="C608" s="3950"/>
      <c r="D608" s="3950"/>
      <c r="E608" s="2895" t="s">
        <v>1027</v>
      </c>
      <c r="F608" s="2896">
        <f t="shared" si="69"/>
        <v>0</v>
      </c>
      <c r="G608" s="2896"/>
      <c r="H608" s="2896"/>
      <c r="I608" s="2896"/>
      <c r="J608" s="2897"/>
    </row>
    <row r="609" spans="1:11" s="2864" customFormat="1" ht="15" hidden="1" customHeight="1">
      <c r="A609" s="3941"/>
      <c r="B609" s="3944"/>
      <c r="C609" s="3950"/>
      <c r="D609" s="3950"/>
      <c r="E609" s="2895" t="s">
        <v>952</v>
      </c>
      <c r="F609" s="2896">
        <f t="shared" si="69"/>
        <v>0</v>
      </c>
      <c r="G609" s="2896"/>
      <c r="H609" s="2896"/>
      <c r="I609" s="2896"/>
      <c r="J609" s="2897"/>
    </row>
    <row r="610" spans="1:11" s="2864" customFormat="1" ht="15" hidden="1" customHeight="1">
      <c r="A610" s="3941"/>
      <c r="B610" s="3944"/>
      <c r="C610" s="3950"/>
      <c r="D610" s="3950"/>
      <c r="E610" s="2895" t="s">
        <v>849</v>
      </c>
      <c r="F610" s="2896">
        <f t="shared" si="69"/>
        <v>0</v>
      </c>
      <c r="G610" s="2896"/>
      <c r="H610" s="2896"/>
      <c r="I610" s="2896"/>
      <c r="J610" s="2897"/>
    </row>
    <row r="611" spans="1:11" s="2864" customFormat="1" ht="15" hidden="1" customHeight="1">
      <c r="A611" s="3941"/>
      <c r="B611" s="3944"/>
      <c r="C611" s="3950"/>
      <c r="D611" s="3950"/>
      <c r="E611" s="2895" t="s">
        <v>954</v>
      </c>
      <c r="F611" s="2896">
        <f t="shared" si="69"/>
        <v>0</v>
      </c>
      <c r="G611" s="2896"/>
      <c r="H611" s="2896"/>
      <c r="I611" s="2896"/>
      <c r="J611" s="2897"/>
    </row>
    <row r="612" spans="1:11" s="2864" customFormat="1" ht="15" hidden="1" customHeight="1">
      <c r="A612" s="3941"/>
      <c r="B612" s="3944"/>
      <c r="C612" s="3950"/>
      <c r="D612" s="3950"/>
      <c r="E612" s="2895" t="s">
        <v>1031</v>
      </c>
      <c r="F612" s="2896">
        <f t="shared" si="69"/>
        <v>0</v>
      </c>
      <c r="G612" s="2896"/>
      <c r="H612" s="2896"/>
      <c r="I612" s="2896"/>
      <c r="J612" s="2897"/>
    </row>
    <row r="613" spans="1:11" s="2864" customFormat="1" ht="15" hidden="1" customHeight="1">
      <c r="A613" s="3941"/>
      <c r="B613" s="3944"/>
      <c r="C613" s="3950"/>
      <c r="D613" s="3950"/>
      <c r="E613" s="2895" t="s">
        <v>853</v>
      </c>
      <c r="F613" s="2896">
        <f t="shared" si="69"/>
        <v>0</v>
      </c>
      <c r="G613" s="2896"/>
      <c r="H613" s="2896"/>
      <c r="I613" s="2896"/>
      <c r="J613" s="2897"/>
    </row>
    <row r="614" spans="1:11" s="2864" customFormat="1" ht="15" hidden="1" customHeight="1">
      <c r="A614" s="3941"/>
      <c r="B614" s="3944"/>
      <c r="C614" s="3950"/>
      <c r="D614" s="3950"/>
      <c r="E614" s="2907" t="s">
        <v>1305</v>
      </c>
      <c r="F614" s="2902">
        <f>SUM(F615:F616)</f>
        <v>0</v>
      </c>
      <c r="G614" s="2902">
        <f>SUM(G615:G616)</f>
        <v>0</v>
      </c>
      <c r="H614" s="2902">
        <f>SUM(H615:H616)</f>
        <v>0</v>
      </c>
      <c r="I614" s="2902">
        <f>SUM(I615:I616)</f>
        <v>0</v>
      </c>
      <c r="J614" s="2903">
        <f>SUM(J615:J616)</f>
        <v>0</v>
      </c>
    </row>
    <row r="615" spans="1:11" s="2864" customFormat="1" ht="15" hidden="1" customHeight="1">
      <c r="A615" s="3942"/>
      <c r="B615" s="3945"/>
      <c r="C615" s="3951"/>
      <c r="D615" s="3951"/>
      <c r="E615" s="2895" t="s">
        <v>1055</v>
      </c>
      <c r="F615" s="2896">
        <f>SUM(G615:J615)</f>
        <v>0</v>
      </c>
      <c r="G615" s="2896"/>
      <c r="H615" s="2896"/>
      <c r="I615" s="2896"/>
      <c r="J615" s="2897"/>
    </row>
    <row r="616" spans="1:11" s="2864" customFormat="1" ht="15" hidden="1" customHeight="1">
      <c r="A616" s="2891"/>
      <c r="B616" s="2910"/>
      <c r="C616" s="2894"/>
      <c r="D616" s="2894"/>
      <c r="E616" s="2916"/>
      <c r="F616" s="2896">
        <f>SUM(G616:J616)</f>
        <v>0</v>
      </c>
      <c r="G616" s="2896"/>
      <c r="H616" s="2896"/>
      <c r="I616" s="2896"/>
      <c r="J616" s="2897"/>
    </row>
    <row r="617" spans="1:11" s="2864" customFormat="1" ht="22.5">
      <c r="A617" s="3910" t="s">
        <v>1355</v>
      </c>
      <c r="B617" s="3912" t="s">
        <v>1366</v>
      </c>
      <c r="C617" s="3927" t="s">
        <v>40</v>
      </c>
      <c r="D617" s="3927" t="s">
        <v>273</v>
      </c>
      <c r="E617" s="2861" t="s">
        <v>1304</v>
      </c>
      <c r="F617" s="2862">
        <f>SUM(F618,F633)</f>
        <v>6889</v>
      </c>
      <c r="G617" s="2862">
        <f>SUM(G618,G633)</f>
        <v>6889</v>
      </c>
      <c r="H617" s="2862">
        <f>SUM(H618,H633)</f>
        <v>0</v>
      </c>
      <c r="I617" s="2862">
        <f>SUM(I618,I633)</f>
        <v>0</v>
      </c>
      <c r="J617" s="2863">
        <f>SUM(J618,J633)</f>
        <v>0</v>
      </c>
      <c r="K617" s="2914"/>
    </row>
    <row r="618" spans="1:11" s="2864" customFormat="1" ht="21">
      <c r="A618" s="3911"/>
      <c r="B618" s="3913"/>
      <c r="C618" s="3928"/>
      <c r="D618" s="3928"/>
      <c r="E618" s="2866" t="s">
        <v>1310</v>
      </c>
      <c r="F618" s="2867">
        <f>SUM(F619,F626)</f>
        <v>6889</v>
      </c>
      <c r="G618" s="2867">
        <f>SUM(G619,G626)</f>
        <v>6889</v>
      </c>
      <c r="H618" s="2867">
        <f>SUM(H619,H626)</f>
        <v>0</v>
      </c>
      <c r="I618" s="2867">
        <f>SUM(I619,I626)</f>
        <v>0</v>
      </c>
      <c r="J618" s="2868">
        <f>SUM(J619,J626)</f>
        <v>0</v>
      </c>
      <c r="K618" s="2865"/>
    </row>
    <row r="619" spans="1:11" s="2864" customFormat="1" ht="22.5" hidden="1">
      <c r="A619" s="3911"/>
      <c r="B619" s="3913"/>
      <c r="C619" s="3928"/>
      <c r="D619" s="3928"/>
      <c r="E619" s="2880" t="s">
        <v>1311</v>
      </c>
      <c r="F619" s="2881">
        <f>SUM(F620:F625)</f>
        <v>0</v>
      </c>
      <c r="G619" s="2881">
        <f>SUM(G620:G625)</f>
        <v>0</v>
      </c>
      <c r="H619" s="2881">
        <f>SUM(H620:H625)</f>
        <v>0</v>
      </c>
      <c r="I619" s="2881">
        <f>SUM(I620:I625)</f>
        <v>0</v>
      </c>
      <c r="J619" s="2882">
        <f>SUM(J620:J625)</f>
        <v>0</v>
      </c>
      <c r="K619" s="2865"/>
    </row>
    <row r="620" spans="1:11" s="2864" customFormat="1" ht="15" hidden="1" customHeight="1">
      <c r="A620" s="3911"/>
      <c r="B620" s="3913"/>
      <c r="C620" s="3928"/>
      <c r="D620" s="3928"/>
      <c r="E620" s="2869" t="s">
        <v>828</v>
      </c>
      <c r="F620" s="2870">
        <f t="shared" ref="F620:F625" si="70">SUM(G620:J620)</f>
        <v>0</v>
      </c>
      <c r="G620" s="2870"/>
      <c r="H620" s="2870"/>
      <c r="I620" s="2870"/>
      <c r="J620" s="2871"/>
      <c r="K620" s="2865"/>
    </row>
    <row r="621" spans="1:11" s="2864" customFormat="1" ht="15" hidden="1" customHeight="1">
      <c r="A621" s="3911"/>
      <c r="B621" s="3913"/>
      <c r="C621" s="3928"/>
      <c r="D621" s="3928"/>
      <c r="E621" s="2869" t="s">
        <v>829</v>
      </c>
      <c r="F621" s="2870">
        <f t="shared" si="70"/>
        <v>0</v>
      </c>
      <c r="G621" s="2870"/>
      <c r="H621" s="2870"/>
      <c r="I621" s="2870"/>
      <c r="J621" s="2871"/>
      <c r="K621" s="2865"/>
    </row>
    <row r="622" spans="1:11" s="2864" customFormat="1" ht="15" hidden="1" customHeight="1">
      <c r="A622" s="3911"/>
      <c r="B622" s="3913"/>
      <c r="C622" s="3928"/>
      <c r="D622" s="3928"/>
      <c r="E622" s="2869" t="s">
        <v>832</v>
      </c>
      <c r="F622" s="2870">
        <f t="shared" si="70"/>
        <v>0</v>
      </c>
      <c r="G622" s="2870"/>
      <c r="H622" s="2870"/>
      <c r="I622" s="2870"/>
      <c r="J622" s="2871"/>
      <c r="K622" s="2914"/>
    </row>
    <row r="623" spans="1:11" s="2864" customFormat="1" ht="15" hidden="1" customHeight="1">
      <c r="A623" s="3911"/>
      <c r="B623" s="3913"/>
      <c r="C623" s="3928"/>
      <c r="D623" s="3928"/>
      <c r="E623" s="2869" t="s">
        <v>833</v>
      </c>
      <c r="F623" s="2870">
        <f t="shared" si="70"/>
        <v>0</v>
      </c>
      <c r="G623" s="2870"/>
      <c r="H623" s="2870"/>
      <c r="I623" s="2870"/>
      <c r="J623" s="2871"/>
    </row>
    <row r="624" spans="1:11" s="2864" customFormat="1" ht="15" hidden="1" customHeight="1">
      <c r="A624" s="3911"/>
      <c r="B624" s="3913"/>
      <c r="C624" s="3928"/>
      <c r="D624" s="3928"/>
      <c r="E624" s="2869" t="s">
        <v>834</v>
      </c>
      <c r="F624" s="2870">
        <f t="shared" si="70"/>
        <v>0</v>
      </c>
      <c r="G624" s="2870"/>
      <c r="H624" s="2870"/>
      <c r="I624" s="2870"/>
      <c r="J624" s="2871"/>
    </row>
    <row r="625" spans="1:11" s="2864" customFormat="1" ht="15" hidden="1" customHeight="1">
      <c r="A625" s="3911"/>
      <c r="B625" s="3913"/>
      <c r="C625" s="3928"/>
      <c r="D625" s="3928"/>
      <c r="E625" s="2869" t="s">
        <v>835</v>
      </c>
      <c r="F625" s="2870">
        <f t="shared" si="70"/>
        <v>0</v>
      </c>
      <c r="G625" s="2870"/>
      <c r="H625" s="2870"/>
      <c r="I625" s="2870"/>
      <c r="J625" s="2871"/>
    </row>
    <row r="626" spans="1:11" s="2864" customFormat="1" ht="20.25" customHeight="1">
      <c r="A626" s="3911"/>
      <c r="B626" s="3913"/>
      <c r="C626" s="3928"/>
      <c r="D626" s="3928"/>
      <c r="E626" s="2880" t="s">
        <v>1312</v>
      </c>
      <c r="F626" s="2881">
        <f>SUM(F627:F632)</f>
        <v>6889</v>
      </c>
      <c r="G626" s="2881">
        <f>SUM(G627:G632)</f>
        <v>6889</v>
      </c>
      <c r="H626" s="2881">
        <f>SUM(H627:H632)</f>
        <v>0</v>
      </c>
      <c r="I626" s="2881">
        <f>SUM(I627:I632)</f>
        <v>0</v>
      </c>
      <c r="J626" s="2882">
        <f>SUM(J627:J632)</f>
        <v>0</v>
      </c>
      <c r="K626" s="2865"/>
    </row>
    <row r="627" spans="1:11" s="2864" customFormat="1" ht="15" hidden="1" customHeight="1">
      <c r="A627" s="3911"/>
      <c r="B627" s="3913"/>
      <c r="C627" s="3928"/>
      <c r="D627" s="3928"/>
      <c r="E627" s="2869" t="s">
        <v>841</v>
      </c>
      <c r="F627" s="2870">
        <f t="shared" ref="F627:F632" si="71">SUM(G627:J627)</f>
        <v>0</v>
      </c>
      <c r="G627" s="2870"/>
      <c r="H627" s="2870"/>
      <c r="I627" s="2870"/>
      <c r="J627" s="2871"/>
    </row>
    <row r="628" spans="1:11" s="2864" customFormat="1" ht="15" hidden="1" customHeight="1">
      <c r="A628" s="3911"/>
      <c r="B628" s="3913"/>
      <c r="C628" s="3928"/>
      <c r="D628" s="3928"/>
      <c r="E628" s="2869" t="s">
        <v>842</v>
      </c>
      <c r="F628" s="2870">
        <f t="shared" si="71"/>
        <v>0</v>
      </c>
      <c r="G628" s="2870"/>
      <c r="H628" s="2870"/>
      <c r="I628" s="2870"/>
      <c r="J628" s="2871"/>
    </row>
    <row r="629" spans="1:11" s="2864" customFormat="1" ht="15" customHeight="1">
      <c r="A629" s="3911"/>
      <c r="B629" s="3913"/>
      <c r="C629" s="3928"/>
      <c r="D629" s="3928"/>
      <c r="E629" s="2869" t="s">
        <v>845</v>
      </c>
      <c r="F629" s="2870">
        <f t="shared" si="71"/>
        <v>6200</v>
      </c>
      <c r="G629" s="2870">
        <v>6200</v>
      </c>
      <c r="H629" s="2870"/>
      <c r="I629" s="2870"/>
      <c r="J629" s="2871"/>
    </row>
    <row r="630" spans="1:11" s="2864" customFormat="1" ht="15" customHeight="1">
      <c r="A630" s="3911"/>
      <c r="B630" s="3913"/>
      <c r="C630" s="3928"/>
      <c r="D630" s="3928"/>
      <c r="E630" s="2869" t="s">
        <v>846</v>
      </c>
      <c r="F630" s="2870">
        <f t="shared" si="71"/>
        <v>689</v>
      </c>
      <c r="G630" s="2870">
        <v>689</v>
      </c>
      <c r="H630" s="2870"/>
      <c r="I630" s="2870"/>
      <c r="J630" s="2871"/>
    </row>
    <row r="631" spans="1:11" s="2864" customFormat="1" ht="15" hidden="1" customHeight="1">
      <c r="A631" s="3911"/>
      <c r="B631" s="3913"/>
      <c r="C631" s="3928"/>
      <c r="D631" s="3928"/>
      <c r="E631" s="2869" t="s">
        <v>954</v>
      </c>
      <c r="F631" s="2870">
        <f t="shared" si="71"/>
        <v>0</v>
      </c>
      <c r="G631" s="2870"/>
      <c r="H631" s="2870"/>
      <c r="I631" s="2870"/>
      <c r="J631" s="2871"/>
    </row>
    <row r="632" spans="1:11" s="2864" customFormat="1" ht="15" hidden="1" customHeight="1">
      <c r="A632" s="3911"/>
      <c r="B632" s="3913"/>
      <c r="C632" s="3928"/>
      <c r="D632" s="3928"/>
      <c r="E632" s="2869" t="s">
        <v>955</v>
      </c>
      <c r="F632" s="2870">
        <f t="shared" si="71"/>
        <v>0</v>
      </c>
      <c r="G632" s="2870"/>
      <c r="H632" s="2870"/>
      <c r="I632" s="2870"/>
      <c r="J632" s="2871"/>
    </row>
    <row r="633" spans="1:11" s="2864" customFormat="1" ht="12">
      <c r="A633" s="3920"/>
      <c r="B633" s="3937"/>
      <c r="C633" s="3929"/>
      <c r="D633" s="3929"/>
      <c r="E633" s="2872" t="s">
        <v>1305</v>
      </c>
      <c r="F633" s="2867">
        <f>SUM(F634:F635)</f>
        <v>0</v>
      </c>
      <c r="G633" s="2867">
        <f>SUM(G634:G635)</f>
        <v>0</v>
      </c>
      <c r="H633" s="2867">
        <f>SUM(H634:H635)</f>
        <v>0</v>
      </c>
      <c r="I633" s="2867">
        <f>SUM(I634:I635)</f>
        <v>0</v>
      </c>
      <c r="J633" s="2868">
        <f>SUM(J634:J635)</f>
        <v>0</v>
      </c>
    </row>
    <row r="634" spans="1:11" s="2864" customFormat="1" ht="15" hidden="1" customHeight="1">
      <c r="A634" s="2891"/>
      <c r="B634" s="2910"/>
      <c r="C634" s="2894"/>
      <c r="D634" s="2894"/>
      <c r="E634" s="2895"/>
      <c r="F634" s="2896">
        <f>SUM(G634:J634)</f>
        <v>0</v>
      </c>
      <c r="G634" s="2896"/>
      <c r="H634" s="2896"/>
      <c r="I634" s="2896"/>
      <c r="J634" s="2897"/>
    </row>
    <row r="635" spans="1:11" s="2864" customFormat="1" ht="15" hidden="1" customHeight="1">
      <c r="A635" s="2891"/>
      <c r="B635" s="2910"/>
      <c r="C635" s="2894"/>
      <c r="D635" s="2894"/>
      <c r="E635" s="2916"/>
      <c r="F635" s="2896">
        <f>SUM(G635:J635)</f>
        <v>0</v>
      </c>
      <c r="G635" s="2896"/>
      <c r="H635" s="2896"/>
      <c r="I635" s="2896"/>
      <c r="J635" s="2897"/>
    </row>
    <row r="636" spans="1:11" s="2864" customFormat="1" ht="22.5">
      <c r="A636" s="3910" t="s">
        <v>1367</v>
      </c>
      <c r="B636" s="3912" t="s">
        <v>1368</v>
      </c>
      <c r="C636" s="3927" t="s">
        <v>40</v>
      </c>
      <c r="D636" s="3927" t="s">
        <v>273</v>
      </c>
      <c r="E636" s="2861" t="s">
        <v>1304</v>
      </c>
      <c r="F636" s="2862">
        <f>SUM(F637,F654)</f>
        <v>5585</v>
      </c>
      <c r="G636" s="2862">
        <f>SUM(G637,G654)</f>
        <v>5585</v>
      </c>
      <c r="H636" s="2862">
        <f>SUM(H637,H654)</f>
        <v>0</v>
      </c>
      <c r="I636" s="2862">
        <f>SUM(I637,I654)</f>
        <v>0</v>
      </c>
      <c r="J636" s="2863">
        <f>SUM(J637,J654)</f>
        <v>0</v>
      </c>
      <c r="K636" s="2914"/>
    </row>
    <row r="637" spans="1:11" s="2864" customFormat="1" ht="21">
      <c r="A637" s="3911"/>
      <c r="B637" s="3913"/>
      <c r="C637" s="3928"/>
      <c r="D637" s="3928"/>
      <c r="E637" s="2866" t="s">
        <v>1310</v>
      </c>
      <c r="F637" s="2867">
        <f>SUM(F638,F640,F647)</f>
        <v>5585</v>
      </c>
      <c r="G637" s="2867">
        <f t="shared" ref="G637:J637" si="72">SUM(G638,G640,G647)</f>
        <v>5585</v>
      </c>
      <c r="H637" s="2867">
        <f t="shared" si="72"/>
        <v>0</v>
      </c>
      <c r="I637" s="2867">
        <f t="shared" si="72"/>
        <v>0</v>
      </c>
      <c r="J637" s="2868">
        <f t="shared" si="72"/>
        <v>0</v>
      </c>
      <c r="K637" s="2865"/>
    </row>
    <row r="638" spans="1:11" s="2864" customFormat="1" ht="15" hidden="1" customHeight="1">
      <c r="A638" s="3911"/>
      <c r="B638" s="3913"/>
      <c r="C638" s="3928"/>
      <c r="D638" s="3928"/>
      <c r="E638" s="2880" t="s">
        <v>1324</v>
      </c>
      <c r="F638" s="2881">
        <f>SUM(F639)</f>
        <v>0</v>
      </c>
      <c r="G638" s="2881">
        <f t="shared" ref="G638:J638" si="73">SUM(G639)</f>
        <v>0</v>
      </c>
      <c r="H638" s="2881">
        <f t="shared" si="73"/>
        <v>0</v>
      </c>
      <c r="I638" s="2881">
        <f t="shared" si="73"/>
        <v>0</v>
      </c>
      <c r="J638" s="2882">
        <f t="shared" si="73"/>
        <v>0</v>
      </c>
      <c r="K638" s="2865"/>
    </row>
    <row r="639" spans="1:11" s="2864" customFormat="1" ht="15" hidden="1" customHeight="1">
      <c r="A639" s="3911"/>
      <c r="B639" s="3913"/>
      <c r="C639" s="3928"/>
      <c r="D639" s="3928"/>
      <c r="E639" s="2869" t="s">
        <v>484</v>
      </c>
      <c r="F639" s="2870">
        <f>SUM(G639:J639)</f>
        <v>0</v>
      </c>
      <c r="G639" s="2870">
        <f>13310-13310</f>
        <v>0</v>
      </c>
      <c r="H639" s="2870"/>
      <c r="I639" s="2870"/>
      <c r="J639" s="2871"/>
      <c r="K639" s="2865"/>
    </row>
    <row r="640" spans="1:11" s="2864" customFormat="1" ht="15" hidden="1" customHeight="1">
      <c r="A640" s="3911"/>
      <c r="B640" s="3913"/>
      <c r="C640" s="3928"/>
      <c r="D640" s="3928"/>
      <c r="E640" s="2880" t="s">
        <v>1311</v>
      </c>
      <c r="F640" s="2881">
        <f>SUM(F641:F646)</f>
        <v>0</v>
      </c>
      <c r="G640" s="2881">
        <f t="shared" ref="G640:J640" si="74">SUM(G641:G646)</f>
        <v>0</v>
      </c>
      <c r="H640" s="2881">
        <f t="shared" si="74"/>
        <v>0</v>
      </c>
      <c r="I640" s="2881">
        <f t="shared" si="74"/>
        <v>0</v>
      </c>
      <c r="J640" s="2882">
        <f t="shared" si="74"/>
        <v>0</v>
      </c>
    </row>
    <row r="641" spans="1:11" s="2864" customFormat="1" ht="15" hidden="1" customHeight="1">
      <c r="A641" s="3911"/>
      <c r="B641" s="3913"/>
      <c r="C641" s="3928"/>
      <c r="D641" s="3928"/>
      <c r="E641" s="2869" t="s">
        <v>828</v>
      </c>
      <c r="F641" s="2870">
        <f t="shared" ref="F641:F646" si="75">SUM(G641:J641)</f>
        <v>0</v>
      </c>
      <c r="G641" s="2870"/>
      <c r="H641" s="2870"/>
      <c r="I641" s="2870"/>
      <c r="J641" s="2871"/>
      <c r="K641" s="2865"/>
    </row>
    <row r="642" spans="1:11" s="2864" customFormat="1" ht="15" hidden="1" customHeight="1">
      <c r="A642" s="3911"/>
      <c r="B642" s="3913"/>
      <c r="C642" s="3928"/>
      <c r="D642" s="3928"/>
      <c r="E642" s="2869" t="s">
        <v>829</v>
      </c>
      <c r="F642" s="2870">
        <f t="shared" si="75"/>
        <v>0</v>
      </c>
      <c r="G642" s="2870"/>
      <c r="H642" s="2870"/>
      <c r="I642" s="2870"/>
      <c r="J642" s="2871"/>
      <c r="K642" s="2865"/>
    </row>
    <row r="643" spans="1:11" s="2864" customFormat="1" ht="15" hidden="1" customHeight="1">
      <c r="A643" s="3911"/>
      <c r="B643" s="3913"/>
      <c r="C643" s="3928"/>
      <c r="D643" s="3928"/>
      <c r="E643" s="2869" t="s">
        <v>832</v>
      </c>
      <c r="F643" s="2870">
        <f t="shared" si="75"/>
        <v>0</v>
      </c>
      <c r="G643" s="2870"/>
      <c r="H643" s="2870"/>
      <c r="I643" s="2870"/>
      <c r="J643" s="2871"/>
      <c r="K643" s="2865"/>
    </row>
    <row r="644" spans="1:11" s="2864" customFormat="1" ht="15" hidden="1" customHeight="1">
      <c r="A644" s="3911"/>
      <c r="B644" s="3913"/>
      <c r="C644" s="3928"/>
      <c r="D644" s="3928"/>
      <c r="E644" s="2869" t="s">
        <v>833</v>
      </c>
      <c r="F644" s="2870">
        <f t="shared" si="75"/>
        <v>0</v>
      </c>
      <c r="G644" s="2870"/>
      <c r="H644" s="2870"/>
      <c r="I644" s="2870"/>
      <c r="J644" s="2871"/>
      <c r="K644" s="2914"/>
    </row>
    <row r="645" spans="1:11" s="2864" customFormat="1" ht="15" hidden="1" customHeight="1">
      <c r="A645" s="3911"/>
      <c r="B645" s="3913"/>
      <c r="C645" s="3928"/>
      <c r="D645" s="3928"/>
      <c r="E645" s="2869" t="s">
        <v>834</v>
      </c>
      <c r="F645" s="2870">
        <f t="shared" si="75"/>
        <v>0</v>
      </c>
      <c r="G645" s="2870"/>
      <c r="H645" s="2870"/>
      <c r="I645" s="2870"/>
      <c r="J645" s="2871"/>
    </row>
    <row r="646" spans="1:11" s="2864" customFormat="1" ht="15" hidden="1" customHeight="1">
      <c r="A646" s="3911"/>
      <c r="B646" s="3913"/>
      <c r="C646" s="3928"/>
      <c r="D646" s="3928"/>
      <c r="E646" s="2869" t="s">
        <v>835</v>
      </c>
      <c r="F646" s="2870">
        <f t="shared" si="75"/>
        <v>0</v>
      </c>
      <c r="G646" s="2870"/>
      <c r="H646" s="2870"/>
      <c r="I646" s="2870"/>
      <c r="J646" s="2871"/>
    </row>
    <row r="647" spans="1:11" s="2864" customFormat="1" ht="19.5" customHeight="1">
      <c r="A647" s="3911"/>
      <c r="B647" s="3913"/>
      <c r="C647" s="3928"/>
      <c r="D647" s="3928"/>
      <c r="E647" s="2880" t="s">
        <v>1312</v>
      </c>
      <c r="F647" s="2881">
        <f>SUM(F648:F653)</f>
        <v>5585</v>
      </c>
      <c r="G647" s="2881">
        <f>SUM(G648:G653)</f>
        <v>5585</v>
      </c>
      <c r="H647" s="2881">
        <f>SUM(H648:H653)</f>
        <v>0</v>
      </c>
      <c r="I647" s="2881">
        <f>SUM(I648:I653)</f>
        <v>0</v>
      </c>
      <c r="J647" s="2882">
        <f>SUM(J648:J653)</f>
        <v>0</v>
      </c>
    </row>
    <row r="648" spans="1:11" s="2864" customFormat="1" ht="15" hidden="1" customHeight="1">
      <c r="A648" s="3911"/>
      <c r="B648" s="3913"/>
      <c r="C648" s="3928"/>
      <c r="D648" s="3928"/>
      <c r="E648" s="2869" t="s">
        <v>841</v>
      </c>
      <c r="F648" s="2870">
        <f t="shared" ref="F648:F653" si="76">SUM(G648:J648)</f>
        <v>0</v>
      </c>
      <c r="G648" s="2870"/>
      <c r="H648" s="2870"/>
      <c r="I648" s="2870"/>
      <c r="J648" s="2871"/>
    </row>
    <row r="649" spans="1:11" s="2864" customFormat="1" ht="15" hidden="1" customHeight="1">
      <c r="A649" s="3911"/>
      <c r="B649" s="3913"/>
      <c r="C649" s="3928"/>
      <c r="D649" s="3928"/>
      <c r="E649" s="2869" t="s">
        <v>842</v>
      </c>
      <c r="F649" s="2870">
        <f t="shared" si="76"/>
        <v>0</v>
      </c>
      <c r="G649" s="2870"/>
      <c r="H649" s="2870"/>
      <c r="I649" s="2870"/>
      <c r="J649" s="2871"/>
    </row>
    <row r="650" spans="1:11" s="2864" customFormat="1" ht="15" customHeight="1">
      <c r="A650" s="3911"/>
      <c r="B650" s="3913"/>
      <c r="C650" s="3928"/>
      <c r="D650" s="3928"/>
      <c r="E650" s="2869" t="s">
        <v>845</v>
      </c>
      <c r="F650" s="2870">
        <f t="shared" si="76"/>
        <v>5026</v>
      </c>
      <c r="G650" s="2870">
        <v>5026</v>
      </c>
      <c r="H650" s="2870"/>
      <c r="I650" s="2870"/>
      <c r="J650" s="2871"/>
    </row>
    <row r="651" spans="1:11" s="2864" customFormat="1" ht="15" customHeight="1">
      <c r="A651" s="3911"/>
      <c r="B651" s="3913"/>
      <c r="C651" s="3928"/>
      <c r="D651" s="3928"/>
      <c r="E651" s="2869" t="s">
        <v>846</v>
      </c>
      <c r="F651" s="2870">
        <f t="shared" si="76"/>
        <v>559</v>
      </c>
      <c r="G651" s="2870">
        <v>559</v>
      </c>
      <c r="H651" s="2870"/>
      <c r="I651" s="2870"/>
      <c r="J651" s="2871"/>
    </row>
    <row r="652" spans="1:11" s="2864" customFormat="1" ht="15" hidden="1" customHeight="1">
      <c r="A652" s="3911"/>
      <c r="B652" s="3913"/>
      <c r="C652" s="3928"/>
      <c r="D652" s="3928"/>
      <c r="E652" s="2869" t="s">
        <v>954</v>
      </c>
      <c r="F652" s="2870">
        <f t="shared" si="76"/>
        <v>0</v>
      </c>
      <c r="G652" s="2870"/>
      <c r="H652" s="2870"/>
      <c r="I652" s="2870"/>
      <c r="J652" s="2871"/>
    </row>
    <row r="653" spans="1:11" s="2864" customFormat="1" ht="15" hidden="1" customHeight="1">
      <c r="A653" s="3911"/>
      <c r="B653" s="3913"/>
      <c r="C653" s="3928"/>
      <c r="D653" s="3928"/>
      <c r="E653" s="2869" t="s">
        <v>955</v>
      </c>
      <c r="F653" s="2870">
        <f t="shared" si="76"/>
        <v>0</v>
      </c>
      <c r="G653" s="2870"/>
      <c r="H653" s="2870"/>
      <c r="I653" s="2870"/>
      <c r="J653" s="2871"/>
    </row>
    <row r="654" spans="1:11" s="2864" customFormat="1" ht="12">
      <c r="A654" s="3920"/>
      <c r="B654" s="3937"/>
      <c r="C654" s="3929"/>
      <c r="D654" s="3929"/>
      <c r="E654" s="2872" t="s">
        <v>1305</v>
      </c>
      <c r="F654" s="2867">
        <f>SUM(F655:F656)</f>
        <v>0</v>
      </c>
      <c r="G654" s="2867">
        <f>SUM(G655:G656)</f>
        <v>0</v>
      </c>
      <c r="H654" s="2867">
        <f>SUM(H655:H656)</f>
        <v>0</v>
      </c>
      <c r="I654" s="2867">
        <f>SUM(I655:I656)</f>
        <v>0</v>
      </c>
      <c r="J654" s="2868">
        <f>SUM(J655:J656)</f>
        <v>0</v>
      </c>
    </row>
    <row r="655" spans="1:11" s="2864" customFormat="1" ht="15" hidden="1" customHeight="1">
      <c r="A655" s="2891"/>
      <c r="B655" s="2910"/>
      <c r="C655" s="2894"/>
      <c r="D655" s="2894"/>
      <c r="E655" s="2895"/>
      <c r="F655" s="2896">
        <f>SUM(G655:J655)</f>
        <v>0</v>
      </c>
      <c r="G655" s="2896"/>
      <c r="H655" s="2896"/>
      <c r="I655" s="2896"/>
      <c r="J655" s="2897"/>
    </row>
    <row r="656" spans="1:11" s="2864" customFormat="1" ht="15" hidden="1" customHeight="1">
      <c r="A656" s="2891"/>
      <c r="B656" s="2910"/>
      <c r="C656" s="2894"/>
      <c r="D656" s="2894"/>
      <c r="E656" s="2916"/>
      <c r="F656" s="2896">
        <f>SUM(G656:J656)</f>
        <v>0</v>
      </c>
      <c r="G656" s="2896"/>
      <c r="H656" s="2896"/>
      <c r="I656" s="2896"/>
      <c r="J656" s="2897"/>
    </row>
    <row r="657" spans="1:16" s="2864" customFormat="1" ht="22.5">
      <c r="A657" s="3910" t="s">
        <v>1369</v>
      </c>
      <c r="B657" s="3912" t="s">
        <v>1370</v>
      </c>
      <c r="C657" s="3927" t="s">
        <v>40</v>
      </c>
      <c r="D657" s="3927" t="s">
        <v>1043</v>
      </c>
      <c r="E657" s="2861" t="s">
        <v>1304</v>
      </c>
      <c r="F657" s="2862">
        <f>SUM(F658,F682)</f>
        <v>2694840</v>
      </c>
      <c r="G657" s="2862">
        <f>SUM(G658,G682)</f>
        <v>0</v>
      </c>
      <c r="H657" s="2862">
        <f>SUM(H658,H682)</f>
        <v>2540964</v>
      </c>
      <c r="I657" s="2862">
        <f>SUM(I658,I682)</f>
        <v>153876</v>
      </c>
      <c r="J657" s="2863">
        <f>SUM(J658,J682)</f>
        <v>0</v>
      </c>
      <c r="K657" s="2877"/>
      <c r="L657" s="2877"/>
      <c r="M657" s="2877"/>
      <c r="N657" s="2877"/>
      <c r="O657" s="2877"/>
      <c r="P657" s="2879"/>
    </row>
    <row r="658" spans="1:16" s="2864" customFormat="1" ht="21">
      <c r="A658" s="3911"/>
      <c r="B658" s="3913"/>
      <c r="C658" s="3928"/>
      <c r="D658" s="3928"/>
      <c r="E658" s="2866" t="s">
        <v>1310</v>
      </c>
      <c r="F658" s="2867">
        <f>SUM(F659,F664,F673)</f>
        <v>1430109</v>
      </c>
      <c r="G658" s="2867">
        <f t="shared" ref="G658:J658" si="77">SUM(G659,G664,G673)</f>
        <v>0</v>
      </c>
      <c r="H658" s="2867">
        <f t="shared" si="77"/>
        <v>1348450</v>
      </c>
      <c r="I658" s="2867">
        <f t="shared" si="77"/>
        <v>81659</v>
      </c>
      <c r="J658" s="2868">
        <f t="shared" si="77"/>
        <v>0</v>
      </c>
      <c r="K658" s="2878"/>
      <c r="L658" s="2878"/>
      <c r="M658" s="2878"/>
      <c r="N658" s="2878"/>
      <c r="O658" s="2878"/>
      <c r="P658" s="2879"/>
    </row>
    <row r="659" spans="1:16" s="2864" customFormat="1" ht="12">
      <c r="A659" s="3911"/>
      <c r="B659" s="3913"/>
      <c r="C659" s="3928"/>
      <c r="D659" s="3928"/>
      <c r="E659" s="2880" t="s">
        <v>1324</v>
      </c>
      <c r="F659" s="2881">
        <f>SUM(F660:F663)</f>
        <v>702770</v>
      </c>
      <c r="G659" s="2881">
        <f t="shared" ref="G659:J659" si="78">SUM(G660:G663)</f>
        <v>0</v>
      </c>
      <c r="H659" s="2881">
        <f t="shared" si="78"/>
        <v>662641</v>
      </c>
      <c r="I659" s="2881">
        <f t="shared" si="78"/>
        <v>40129</v>
      </c>
      <c r="J659" s="2882">
        <f t="shared" si="78"/>
        <v>0</v>
      </c>
      <c r="K659" s="2878"/>
      <c r="L659" s="2878"/>
      <c r="M659" s="2878"/>
      <c r="N659" s="2878"/>
      <c r="O659" s="2878"/>
      <c r="P659" s="2879"/>
    </row>
    <row r="660" spans="1:16" s="2864" customFormat="1" ht="15" customHeight="1">
      <c r="A660" s="3911"/>
      <c r="B660" s="3913"/>
      <c r="C660" s="3928"/>
      <c r="D660" s="3928"/>
      <c r="E660" s="2869" t="s">
        <v>489</v>
      </c>
      <c r="F660" s="2870">
        <f t="shared" ref="F660:F663" si="79">SUM(G660:J660)</f>
        <v>364350</v>
      </c>
      <c r="G660" s="2870"/>
      <c r="H660" s="2870">
        <v>364350</v>
      </c>
      <c r="I660" s="2870"/>
      <c r="J660" s="2871"/>
      <c r="K660" s="2879"/>
      <c r="L660" s="2879"/>
      <c r="M660" s="2879"/>
      <c r="N660" s="2879"/>
      <c r="O660" s="2879"/>
      <c r="P660" s="2879"/>
    </row>
    <row r="661" spans="1:16" s="2864" customFormat="1" ht="15" customHeight="1">
      <c r="A661" s="3911"/>
      <c r="B661" s="3913"/>
      <c r="C661" s="3928"/>
      <c r="D661" s="3928"/>
      <c r="E661" s="2869" t="s">
        <v>649</v>
      </c>
      <c r="F661" s="2870">
        <f t="shared" si="79"/>
        <v>22065</v>
      </c>
      <c r="G661" s="2870"/>
      <c r="H661" s="2870"/>
      <c r="I661" s="2870">
        <v>22065</v>
      </c>
      <c r="J661" s="2871"/>
    </row>
    <row r="662" spans="1:16" s="2864" customFormat="1" ht="15" customHeight="1">
      <c r="A662" s="3911"/>
      <c r="B662" s="3913"/>
      <c r="C662" s="3928"/>
      <c r="D662" s="3928"/>
      <c r="E662" s="2869" t="s">
        <v>573</v>
      </c>
      <c r="F662" s="2870">
        <f t="shared" si="79"/>
        <v>298291</v>
      </c>
      <c r="G662" s="2870"/>
      <c r="H662" s="2870">
        <v>298291</v>
      </c>
      <c r="I662" s="2870"/>
      <c r="J662" s="2871"/>
    </row>
    <row r="663" spans="1:16" s="2864" customFormat="1" ht="15" customHeight="1">
      <c r="A663" s="3911"/>
      <c r="B663" s="3913"/>
      <c r="C663" s="3928"/>
      <c r="D663" s="3928"/>
      <c r="E663" s="2869" t="s">
        <v>486</v>
      </c>
      <c r="F663" s="2870">
        <f t="shared" si="79"/>
        <v>18064</v>
      </c>
      <c r="G663" s="2870"/>
      <c r="H663" s="2870"/>
      <c r="I663" s="2870">
        <v>18064</v>
      </c>
      <c r="J663" s="2871"/>
    </row>
    <row r="664" spans="1:16" s="2864" customFormat="1" ht="19.5" customHeight="1">
      <c r="A664" s="3911"/>
      <c r="B664" s="3913"/>
      <c r="C664" s="3928"/>
      <c r="D664" s="3928"/>
      <c r="E664" s="2880" t="s">
        <v>1311</v>
      </c>
      <c r="F664" s="2881">
        <f>SUM(F665:F672)</f>
        <v>14469</v>
      </c>
      <c r="G664" s="2881">
        <f>SUM(G665:G672)</f>
        <v>0</v>
      </c>
      <c r="H664" s="2881">
        <f>SUM(H665:H672)</f>
        <v>13642</v>
      </c>
      <c r="I664" s="2881">
        <f>SUM(I665:I672)</f>
        <v>827</v>
      </c>
      <c r="J664" s="2882">
        <f>SUM(J665:J672)</f>
        <v>0</v>
      </c>
    </row>
    <row r="665" spans="1:16" s="2864" customFormat="1" ht="15" customHeight="1">
      <c r="A665" s="3911"/>
      <c r="B665" s="3913"/>
      <c r="C665" s="3928"/>
      <c r="D665" s="3928"/>
      <c r="E665" s="2869" t="s">
        <v>887</v>
      </c>
      <c r="F665" s="2870">
        <f t="shared" ref="F665:F672" si="80">SUM(G665:J665)</f>
        <v>11400</v>
      </c>
      <c r="G665" s="2870"/>
      <c r="H665" s="2870">
        <v>11400</v>
      </c>
      <c r="I665" s="2870"/>
      <c r="J665" s="2871"/>
    </row>
    <row r="666" spans="1:16" s="2864" customFormat="1" ht="15" customHeight="1">
      <c r="A666" s="3911"/>
      <c r="B666" s="3913"/>
      <c r="C666" s="3928"/>
      <c r="D666" s="3928"/>
      <c r="E666" s="2869" t="s">
        <v>829</v>
      </c>
      <c r="F666" s="2870">
        <f t="shared" si="80"/>
        <v>691</v>
      </c>
      <c r="G666" s="2870"/>
      <c r="H666" s="2870"/>
      <c r="I666" s="2870">
        <v>691</v>
      </c>
      <c r="J666" s="2871"/>
    </row>
    <row r="667" spans="1:16" s="2864" customFormat="1" ht="15" customHeight="1">
      <c r="A667" s="3911"/>
      <c r="B667" s="3913"/>
      <c r="C667" s="3928"/>
      <c r="D667" s="3928"/>
      <c r="E667" s="2869" t="s">
        <v>889</v>
      </c>
      <c r="F667" s="2870">
        <f t="shared" si="80"/>
        <v>1961</v>
      </c>
      <c r="G667" s="2870"/>
      <c r="H667" s="2870">
        <v>1961</v>
      </c>
      <c r="I667" s="2870"/>
      <c r="J667" s="2871"/>
    </row>
    <row r="668" spans="1:16" s="2864" customFormat="1" ht="15" customHeight="1">
      <c r="A668" s="3911"/>
      <c r="B668" s="3913"/>
      <c r="C668" s="3928"/>
      <c r="D668" s="3928"/>
      <c r="E668" s="2869" t="s">
        <v>833</v>
      </c>
      <c r="F668" s="2870">
        <f t="shared" si="80"/>
        <v>119</v>
      </c>
      <c r="G668" s="2870"/>
      <c r="H668" s="2870"/>
      <c r="I668" s="2870">
        <v>119</v>
      </c>
      <c r="J668" s="2871"/>
    </row>
    <row r="669" spans="1:16" s="2864" customFormat="1" ht="15" customHeight="1">
      <c r="A669" s="3911"/>
      <c r="B669" s="3913"/>
      <c r="C669" s="3928"/>
      <c r="D669" s="3928"/>
      <c r="E669" s="2869" t="s">
        <v>890</v>
      </c>
      <c r="F669" s="2870">
        <f t="shared" si="80"/>
        <v>281</v>
      </c>
      <c r="G669" s="2870"/>
      <c r="H669" s="2870">
        <v>281</v>
      </c>
      <c r="I669" s="2870"/>
      <c r="J669" s="2871"/>
    </row>
    <row r="670" spans="1:16" s="2864" customFormat="1" ht="15" customHeight="1">
      <c r="A670" s="3911"/>
      <c r="B670" s="3913"/>
      <c r="C670" s="3928"/>
      <c r="D670" s="3928"/>
      <c r="E670" s="2869" t="s">
        <v>835</v>
      </c>
      <c r="F670" s="2870">
        <f t="shared" si="80"/>
        <v>17</v>
      </c>
      <c r="G670" s="2870"/>
      <c r="H670" s="2870"/>
      <c r="I670" s="2870">
        <v>17</v>
      </c>
      <c r="J670" s="2871"/>
    </row>
    <row r="671" spans="1:16" s="2864" customFormat="1" ht="15" hidden="1" customHeight="1">
      <c r="A671" s="3911"/>
      <c r="B671" s="3913"/>
      <c r="C671" s="3928"/>
      <c r="D671" s="3928"/>
      <c r="E671" s="2869" t="s">
        <v>1003</v>
      </c>
      <c r="F671" s="2870">
        <f t="shared" si="80"/>
        <v>0</v>
      </c>
      <c r="G671" s="2870"/>
      <c r="H671" s="2870"/>
      <c r="I671" s="2870"/>
      <c r="J671" s="2871"/>
    </row>
    <row r="672" spans="1:16" s="2864" customFormat="1" ht="15" hidden="1" customHeight="1">
      <c r="A672" s="3911"/>
      <c r="B672" s="3913"/>
      <c r="C672" s="3928"/>
      <c r="D672" s="3928"/>
      <c r="E672" s="2869" t="s">
        <v>837</v>
      </c>
      <c r="F672" s="2870">
        <f t="shared" si="80"/>
        <v>0</v>
      </c>
      <c r="G672" s="2870"/>
      <c r="H672" s="2870"/>
      <c r="I672" s="2870"/>
      <c r="J672" s="2871"/>
    </row>
    <row r="673" spans="1:10" s="2864" customFormat="1" ht="19.5" customHeight="1">
      <c r="A673" s="3911"/>
      <c r="B673" s="3913"/>
      <c r="C673" s="3928"/>
      <c r="D673" s="3928"/>
      <c r="E673" s="2880" t="s">
        <v>1312</v>
      </c>
      <c r="F673" s="2881">
        <f>SUM(F674:F681)</f>
        <v>712870</v>
      </c>
      <c r="G673" s="2881">
        <f>SUM(G674:G681)</f>
        <v>0</v>
      </c>
      <c r="H673" s="2881">
        <f>SUM(H674:H681)</f>
        <v>672167</v>
      </c>
      <c r="I673" s="2881">
        <f>SUM(I674:I681)</f>
        <v>40703</v>
      </c>
      <c r="J673" s="2882">
        <f>SUM(J674:J681)</f>
        <v>0</v>
      </c>
    </row>
    <row r="674" spans="1:10" s="2864" customFormat="1" ht="15" customHeight="1">
      <c r="A674" s="3911"/>
      <c r="B674" s="3913"/>
      <c r="C674" s="3928"/>
      <c r="D674" s="3928"/>
      <c r="E674" s="2869" t="s">
        <v>891</v>
      </c>
      <c r="F674" s="2870">
        <f t="shared" ref="F674:F681" si="81">SUM(G674:J674)</f>
        <v>63996</v>
      </c>
      <c r="G674" s="2870"/>
      <c r="H674" s="2870">
        <v>63996</v>
      </c>
      <c r="I674" s="2870"/>
      <c r="J674" s="2871"/>
    </row>
    <row r="675" spans="1:10" s="2864" customFormat="1" ht="15" customHeight="1">
      <c r="A675" s="3911"/>
      <c r="B675" s="3913"/>
      <c r="C675" s="3928"/>
      <c r="D675" s="3928"/>
      <c r="E675" s="2869" t="s">
        <v>842</v>
      </c>
      <c r="F675" s="2870">
        <f t="shared" si="81"/>
        <v>3873</v>
      </c>
      <c r="G675" s="2870"/>
      <c r="H675" s="2870"/>
      <c r="I675" s="2870">
        <v>3873</v>
      </c>
      <c r="J675" s="2871"/>
    </row>
    <row r="676" spans="1:10" s="2864" customFormat="1" ht="15" customHeight="1">
      <c r="A676" s="3911"/>
      <c r="B676" s="3913"/>
      <c r="C676" s="3928"/>
      <c r="D676" s="3928"/>
      <c r="E676" s="2869" t="s">
        <v>892</v>
      </c>
      <c r="F676" s="2870">
        <f t="shared" si="81"/>
        <v>608171</v>
      </c>
      <c r="G676" s="2870"/>
      <c r="H676" s="2870">
        <v>608171</v>
      </c>
      <c r="I676" s="2870"/>
      <c r="J676" s="2871"/>
    </row>
    <row r="677" spans="1:10" s="2864" customFormat="1" ht="15" customHeight="1">
      <c r="A677" s="3911"/>
      <c r="B677" s="3913"/>
      <c r="C677" s="3928"/>
      <c r="D677" s="3928"/>
      <c r="E677" s="2869" t="s">
        <v>846</v>
      </c>
      <c r="F677" s="2870">
        <f t="shared" si="81"/>
        <v>36830</v>
      </c>
      <c r="G677" s="2870"/>
      <c r="H677" s="2870"/>
      <c r="I677" s="2870">
        <v>36830</v>
      </c>
      <c r="J677" s="2871"/>
    </row>
    <row r="678" spans="1:10" s="2864" customFormat="1" ht="15" hidden="1" customHeight="1">
      <c r="A678" s="3911"/>
      <c r="B678" s="3913"/>
      <c r="C678" s="3928"/>
      <c r="D678" s="3928"/>
      <c r="E678" s="2869" t="s">
        <v>894</v>
      </c>
      <c r="F678" s="2870">
        <f t="shared" si="81"/>
        <v>0</v>
      </c>
      <c r="G678" s="2870"/>
      <c r="H678" s="2870"/>
      <c r="I678" s="2870"/>
      <c r="J678" s="2871"/>
    </row>
    <row r="679" spans="1:10" s="2864" customFormat="1" ht="15" hidden="1" customHeight="1">
      <c r="A679" s="3911"/>
      <c r="B679" s="3913"/>
      <c r="C679" s="3928"/>
      <c r="D679" s="3928"/>
      <c r="E679" s="2869" t="s">
        <v>850</v>
      </c>
      <c r="F679" s="2870">
        <f t="shared" si="81"/>
        <v>0</v>
      </c>
      <c r="G679" s="2870"/>
      <c r="H679" s="2870"/>
      <c r="I679" s="2870"/>
      <c r="J679" s="2871"/>
    </row>
    <row r="680" spans="1:10" s="2864" customFormat="1" ht="15" hidden="1" customHeight="1">
      <c r="A680" s="3911"/>
      <c r="B680" s="3913"/>
      <c r="C680" s="3928"/>
      <c r="D680" s="3928"/>
      <c r="E680" s="2869" t="s">
        <v>895</v>
      </c>
      <c r="F680" s="2870">
        <f t="shared" si="81"/>
        <v>0</v>
      </c>
      <c r="G680" s="2870"/>
      <c r="H680" s="2870"/>
      <c r="I680" s="2870"/>
      <c r="J680" s="2871"/>
    </row>
    <row r="681" spans="1:10" s="2864" customFormat="1" ht="15" hidden="1" customHeight="1">
      <c r="A681" s="3911"/>
      <c r="B681" s="3913"/>
      <c r="C681" s="3928"/>
      <c r="D681" s="3928"/>
      <c r="E681" s="2869" t="s">
        <v>854</v>
      </c>
      <c r="F681" s="2870">
        <f t="shared" si="81"/>
        <v>0</v>
      </c>
      <c r="G681" s="2870"/>
      <c r="H681" s="2870"/>
      <c r="I681" s="2870"/>
      <c r="J681" s="2871"/>
    </row>
    <row r="682" spans="1:10" s="2864" customFormat="1" ht="12">
      <c r="A682" s="3911"/>
      <c r="B682" s="3913"/>
      <c r="C682" s="3928"/>
      <c r="D682" s="3928"/>
      <c r="E682" s="2872" t="s">
        <v>1305</v>
      </c>
      <c r="F682" s="2867">
        <f>SUM(F683:F688)</f>
        <v>1264731</v>
      </c>
      <c r="G682" s="2867">
        <f>SUM(G683:G688)</f>
        <v>0</v>
      </c>
      <c r="H682" s="2867">
        <f>SUM(H683:H688)</f>
        <v>1192514</v>
      </c>
      <c r="I682" s="2867">
        <f>SUM(I683:I688)</f>
        <v>72217</v>
      </c>
      <c r="J682" s="2868">
        <f>SUM(J683:J688)</f>
        <v>0</v>
      </c>
    </row>
    <row r="683" spans="1:10" s="2864" customFormat="1" ht="15" customHeight="1">
      <c r="A683" s="3911"/>
      <c r="B683" s="3913"/>
      <c r="C683" s="3928"/>
      <c r="D683" s="3928"/>
      <c r="E683" s="2869" t="s">
        <v>920</v>
      </c>
      <c r="F683" s="2870">
        <f>SUM(G683:J683)</f>
        <v>79501</v>
      </c>
      <c r="G683" s="2870"/>
      <c r="H683" s="2870">
        <v>79501</v>
      </c>
      <c r="I683" s="2870"/>
      <c r="J683" s="2871"/>
    </row>
    <row r="684" spans="1:10" s="2864" customFormat="1" ht="15" customHeight="1">
      <c r="A684" s="3911"/>
      <c r="B684" s="3913"/>
      <c r="C684" s="3928"/>
      <c r="D684" s="3928"/>
      <c r="E684" s="2869" t="s">
        <v>921</v>
      </c>
      <c r="F684" s="2870">
        <f t="shared" ref="F684:F688" si="82">SUM(G684:J684)</f>
        <v>4815</v>
      </c>
      <c r="G684" s="2870"/>
      <c r="H684" s="2870"/>
      <c r="I684" s="2870">
        <v>4815</v>
      </c>
      <c r="J684" s="2871"/>
    </row>
    <row r="685" spans="1:10" s="2864" customFormat="1" ht="15" customHeight="1">
      <c r="A685" s="3911"/>
      <c r="B685" s="3913"/>
      <c r="C685" s="3928"/>
      <c r="D685" s="3928"/>
      <c r="E685" s="2869" t="s">
        <v>898</v>
      </c>
      <c r="F685" s="2870">
        <f t="shared" si="82"/>
        <v>79501</v>
      </c>
      <c r="G685" s="2870"/>
      <c r="H685" s="2870">
        <v>79501</v>
      </c>
      <c r="I685" s="2870"/>
      <c r="J685" s="2871"/>
    </row>
    <row r="686" spans="1:10" s="2864" customFormat="1" ht="15" customHeight="1">
      <c r="A686" s="3911"/>
      <c r="B686" s="3913"/>
      <c r="C686" s="3928"/>
      <c r="D686" s="3928"/>
      <c r="E686" s="2869" t="s">
        <v>900</v>
      </c>
      <c r="F686" s="2870">
        <f t="shared" si="82"/>
        <v>4815</v>
      </c>
      <c r="G686" s="2870"/>
      <c r="H686" s="2870"/>
      <c r="I686" s="2870">
        <v>4815</v>
      </c>
      <c r="J686" s="2871"/>
    </row>
    <row r="687" spans="1:10" s="2864" customFormat="1" ht="15" customHeight="1">
      <c r="A687" s="3911"/>
      <c r="B687" s="3913"/>
      <c r="C687" s="3928"/>
      <c r="D687" s="3928"/>
      <c r="E687" s="2869" t="s">
        <v>423</v>
      </c>
      <c r="F687" s="2870">
        <f t="shared" si="82"/>
        <v>1033512</v>
      </c>
      <c r="G687" s="2870"/>
      <c r="H687" s="2870">
        <v>1033512</v>
      </c>
      <c r="I687" s="2870"/>
      <c r="J687" s="2871"/>
    </row>
    <row r="688" spans="1:10" s="2864" customFormat="1" ht="15" customHeight="1">
      <c r="A688" s="3920"/>
      <c r="B688" s="3937"/>
      <c r="C688" s="3929"/>
      <c r="D688" s="3929"/>
      <c r="E688" s="2869" t="s">
        <v>901</v>
      </c>
      <c r="F688" s="2870">
        <f t="shared" si="82"/>
        <v>62587</v>
      </c>
      <c r="G688" s="2870"/>
      <c r="H688" s="2870"/>
      <c r="I688" s="2870">
        <v>62587</v>
      </c>
      <c r="J688" s="2871"/>
    </row>
    <row r="689" spans="1:10" s="2864" customFormat="1" ht="22.5">
      <c r="A689" s="3910" t="s">
        <v>1371</v>
      </c>
      <c r="B689" s="3912" t="s">
        <v>1372</v>
      </c>
      <c r="C689" s="3927" t="s">
        <v>40</v>
      </c>
      <c r="D689" s="3927" t="s">
        <v>1043</v>
      </c>
      <c r="E689" s="2861" t="s">
        <v>1304</v>
      </c>
      <c r="F689" s="2862">
        <f>SUM(F690,F708)</f>
        <v>569814</v>
      </c>
      <c r="G689" s="2862">
        <f>SUM(G690,G708)</f>
        <v>42446</v>
      </c>
      <c r="H689" s="2862">
        <f>SUM(H690,H708)</f>
        <v>493851</v>
      </c>
      <c r="I689" s="2862">
        <f>SUM(I690,I708)</f>
        <v>33517</v>
      </c>
      <c r="J689" s="2863">
        <f>SUM(J690,J708)</f>
        <v>0</v>
      </c>
    </row>
    <row r="690" spans="1:10" s="2864" customFormat="1" ht="21">
      <c r="A690" s="3911"/>
      <c r="B690" s="3913"/>
      <c r="C690" s="3928"/>
      <c r="D690" s="3928"/>
      <c r="E690" s="2866" t="s">
        <v>1310</v>
      </c>
      <c r="F690" s="2867">
        <f>SUM(F691,F694,F701)</f>
        <v>569814</v>
      </c>
      <c r="G690" s="2867">
        <f>SUM(G691,G694,G701)</f>
        <v>42446</v>
      </c>
      <c r="H690" s="2867">
        <f>SUM(H691,H694,H701)</f>
        <v>493851</v>
      </c>
      <c r="I690" s="2867">
        <f>SUM(I691,I694,I701)</f>
        <v>33517</v>
      </c>
      <c r="J690" s="2868">
        <f>SUM(J691,J694,J701)</f>
        <v>0</v>
      </c>
    </row>
    <row r="691" spans="1:10" s="2864" customFormat="1" ht="15" customHeight="1">
      <c r="A691" s="3911"/>
      <c r="B691" s="3913"/>
      <c r="C691" s="3928"/>
      <c r="D691" s="3928"/>
      <c r="E691" s="2880" t="s">
        <v>1324</v>
      </c>
      <c r="F691" s="2881">
        <f>SUM(F692:F693)</f>
        <v>145360</v>
      </c>
      <c r="G691" s="2881">
        <f>SUM(G692:G693)</f>
        <v>0</v>
      </c>
      <c r="H691" s="2881">
        <f>SUM(H692:H693)</f>
        <v>136767</v>
      </c>
      <c r="I691" s="2881">
        <f>SUM(I692:I693)</f>
        <v>8593</v>
      </c>
      <c r="J691" s="2882">
        <f>SUM(J692:J693)</f>
        <v>0</v>
      </c>
    </row>
    <row r="692" spans="1:10" s="2864" customFormat="1" ht="15" customHeight="1">
      <c r="A692" s="3911"/>
      <c r="B692" s="3913"/>
      <c r="C692" s="3928"/>
      <c r="D692" s="3928"/>
      <c r="E692" s="2869" t="s">
        <v>489</v>
      </c>
      <c r="F692" s="2870">
        <f t="shared" ref="F692:F693" si="83">SUM(G692:J692)</f>
        <v>136767</v>
      </c>
      <c r="G692" s="2870"/>
      <c r="H692" s="2870">
        <v>136767</v>
      </c>
      <c r="I692" s="2870"/>
      <c r="J692" s="2871"/>
    </row>
    <row r="693" spans="1:10" s="2864" customFormat="1" ht="15" customHeight="1">
      <c r="A693" s="3911"/>
      <c r="B693" s="3913"/>
      <c r="C693" s="3928"/>
      <c r="D693" s="3928"/>
      <c r="E693" s="2869" t="s">
        <v>649</v>
      </c>
      <c r="F693" s="2870">
        <f t="shared" si="83"/>
        <v>8593</v>
      </c>
      <c r="G693" s="2870"/>
      <c r="H693" s="2870"/>
      <c r="I693" s="2870">
        <v>8593</v>
      </c>
      <c r="J693" s="2871"/>
    </row>
    <row r="694" spans="1:10" s="2864" customFormat="1" ht="22.5">
      <c r="A694" s="3911"/>
      <c r="B694" s="3913"/>
      <c r="C694" s="3928"/>
      <c r="D694" s="3928"/>
      <c r="E694" s="2880" t="s">
        <v>1311</v>
      </c>
      <c r="F694" s="2881">
        <f>SUM(F695:F700)</f>
        <v>168380</v>
      </c>
      <c r="G694" s="2881">
        <f>SUM(G695:G700)</f>
        <v>16837</v>
      </c>
      <c r="H694" s="2881">
        <f>SUM(H695:H700)</f>
        <v>143125</v>
      </c>
      <c r="I694" s="2881">
        <f>SUM(I695:I700)</f>
        <v>8418</v>
      </c>
      <c r="J694" s="2882">
        <f>SUM(J695:J700)</f>
        <v>0</v>
      </c>
    </row>
    <row r="695" spans="1:10" s="2864" customFormat="1" ht="15" customHeight="1">
      <c r="A695" s="3911"/>
      <c r="B695" s="3913"/>
      <c r="C695" s="3928"/>
      <c r="D695" s="3928"/>
      <c r="E695" s="2869" t="s">
        <v>887</v>
      </c>
      <c r="F695" s="2870">
        <f t="shared" ref="F695:F700" si="84">SUM(G695:J695)</f>
        <v>119653</v>
      </c>
      <c r="G695" s="2870"/>
      <c r="H695" s="2870">
        <v>119653</v>
      </c>
      <c r="I695" s="2870"/>
      <c r="J695" s="2871"/>
    </row>
    <row r="696" spans="1:10" s="2864" customFormat="1" ht="15" customHeight="1">
      <c r="A696" s="3911"/>
      <c r="B696" s="3913"/>
      <c r="C696" s="3928"/>
      <c r="D696" s="3928"/>
      <c r="E696" s="2869" t="s">
        <v>829</v>
      </c>
      <c r="F696" s="2870">
        <f t="shared" si="84"/>
        <v>21114</v>
      </c>
      <c r="G696" s="2870">
        <v>14076</v>
      </c>
      <c r="H696" s="2870"/>
      <c r="I696" s="2870">
        <v>7038</v>
      </c>
      <c r="J696" s="2871"/>
    </row>
    <row r="697" spans="1:10" s="2864" customFormat="1" ht="15" customHeight="1">
      <c r="A697" s="3911"/>
      <c r="B697" s="3913"/>
      <c r="C697" s="3928"/>
      <c r="D697" s="3928"/>
      <c r="E697" s="2869" t="s">
        <v>889</v>
      </c>
      <c r="F697" s="2870">
        <f t="shared" si="84"/>
        <v>20610</v>
      </c>
      <c r="G697" s="2870"/>
      <c r="H697" s="2870">
        <v>20610</v>
      </c>
      <c r="I697" s="2870"/>
      <c r="J697" s="2871"/>
    </row>
    <row r="698" spans="1:10" s="2864" customFormat="1" ht="15" customHeight="1">
      <c r="A698" s="3911"/>
      <c r="B698" s="3913"/>
      <c r="C698" s="3928"/>
      <c r="D698" s="3928"/>
      <c r="E698" s="2869" t="s">
        <v>833</v>
      </c>
      <c r="F698" s="2870">
        <f t="shared" si="84"/>
        <v>3637</v>
      </c>
      <c r="G698" s="2870">
        <v>2425</v>
      </c>
      <c r="H698" s="2870"/>
      <c r="I698" s="2870">
        <v>1212</v>
      </c>
      <c r="J698" s="2871"/>
    </row>
    <row r="699" spans="1:10" s="2864" customFormat="1" ht="15" customHeight="1">
      <c r="A699" s="3911"/>
      <c r="B699" s="3913"/>
      <c r="C699" s="3928"/>
      <c r="D699" s="3928"/>
      <c r="E699" s="2869" t="s">
        <v>890</v>
      </c>
      <c r="F699" s="2870">
        <f t="shared" si="84"/>
        <v>2862</v>
      </c>
      <c r="G699" s="2870"/>
      <c r="H699" s="2870">
        <v>2862</v>
      </c>
      <c r="I699" s="2870"/>
      <c r="J699" s="2871"/>
    </row>
    <row r="700" spans="1:10" s="2864" customFormat="1" ht="15" customHeight="1">
      <c r="A700" s="3911"/>
      <c r="B700" s="3913"/>
      <c r="C700" s="3928"/>
      <c r="D700" s="3928"/>
      <c r="E700" s="2869" t="s">
        <v>835</v>
      </c>
      <c r="F700" s="2870">
        <f t="shared" si="84"/>
        <v>504</v>
      </c>
      <c r="G700" s="2870">
        <v>336</v>
      </c>
      <c r="H700" s="2870"/>
      <c r="I700" s="2870">
        <v>168</v>
      </c>
      <c r="J700" s="2871"/>
    </row>
    <row r="701" spans="1:10" s="2864" customFormat="1" ht="22.5">
      <c r="A701" s="3911"/>
      <c r="B701" s="3913"/>
      <c r="C701" s="3928"/>
      <c r="D701" s="3928"/>
      <c r="E701" s="2880" t="s">
        <v>1312</v>
      </c>
      <c r="F701" s="2881">
        <f>SUM(F702:F707)</f>
        <v>256074</v>
      </c>
      <c r="G701" s="2881">
        <f>SUM(G702:G707)</f>
        <v>25609</v>
      </c>
      <c r="H701" s="2881">
        <f>SUM(H702:H707)</f>
        <v>213959</v>
      </c>
      <c r="I701" s="2881">
        <f>SUM(I702:I707)</f>
        <v>16506</v>
      </c>
      <c r="J701" s="2882">
        <f>SUM(J702:J707)</f>
        <v>0</v>
      </c>
    </row>
    <row r="702" spans="1:10" s="2864" customFormat="1" ht="15" customHeight="1">
      <c r="A702" s="3911"/>
      <c r="B702" s="3913"/>
      <c r="C702" s="3928"/>
      <c r="D702" s="3928"/>
      <c r="E702" s="2869" t="s">
        <v>891</v>
      </c>
      <c r="F702" s="2870">
        <f t="shared" ref="F702:F707" si="85">SUM(G702:J702)</f>
        <v>58622</v>
      </c>
      <c r="G702" s="2870"/>
      <c r="H702" s="2870">
        <v>58622</v>
      </c>
      <c r="I702" s="2870"/>
      <c r="J702" s="2871"/>
    </row>
    <row r="703" spans="1:10" s="2864" customFormat="1" ht="15" customHeight="1">
      <c r="A703" s="3911"/>
      <c r="B703" s="3913"/>
      <c r="C703" s="3928"/>
      <c r="D703" s="3928"/>
      <c r="E703" s="2869" t="s">
        <v>842</v>
      </c>
      <c r="F703" s="2870">
        <f t="shared" si="85"/>
        <v>14704</v>
      </c>
      <c r="G703" s="2870">
        <v>7335</v>
      </c>
      <c r="H703" s="2870"/>
      <c r="I703" s="2870">
        <v>7369</v>
      </c>
      <c r="J703" s="2871"/>
    </row>
    <row r="704" spans="1:10" s="2864" customFormat="1" ht="15" customHeight="1">
      <c r="A704" s="3911"/>
      <c r="B704" s="3913"/>
      <c r="C704" s="3928"/>
      <c r="D704" s="3928"/>
      <c r="E704" s="2869" t="s">
        <v>892</v>
      </c>
      <c r="F704" s="2870">
        <f t="shared" si="85"/>
        <v>145125</v>
      </c>
      <c r="G704" s="2870"/>
      <c r="H704" s="2870">
        <v>145125</v>
      </c>
      <c r="I704" s="2870"/>
      <c r="J704" s="2871"/>
    </row>
    <row r="705" spans="1:10" s="2864" customFormat="1" ht="15" customHeight="1">
      <c r="A705" s="3911"/>
      <c r="B705" s="3913"/>
      <c r="C705" s="3928"/>
      <c r="D705" s="3928"/>
      <c r="E705" s="2869" t="s">
        <v>846</v>
      </c>
      <c r="F705" s="2870">
        <f t="shared" si="85"/>
        <v>25609</v>
      </c>
      <c r="G705" s="2870">
        <v>17073</v>
      </c>
      <c r="H705" s="2870"/>
      <c r="I705" s="2870">
        <v>8536</v>
      </c>
      <c r="J705" s="2871"/>
    </row>
    <row r="706" spans="1:10" s="2864" customFormat="1" ht="15" customHeight="1">
      <c r="A706" s="3911"/>
      <c r="B706" s="3913"/>
      <c r="C706" s="3928"/>
      <c r="D706" s="3928"/>
      <c r="E706" s="2869" t="s">
        <v>894</v>
      </c>
      <c r="F706" s="2870">
        <f t="shared" si="85"/>
        <v>10212</v>
      </c>
      <c r="G706" s="2870"/>
      <c r="H706" s="2870">
        <v>10212</v>
      </c>
      <c r="I706" s="2870"/>
      <c r="J706" s="2871"/>
    </row>
    <row r="707" spans="1:10" s="2864" customFormat="1" ht="15" customHeight="1">
      <c r="A707" s="3911"/>
      <c r="B707" s="3913"/>
      <c r="C707" s="3928"/>
      <c r="D707" s="3928"/>
      <c r="E707" s="2869" t="s">
        <v>850</v>
      </c>
      <c r="F707" s="2870">
        <f t="shared" si="85"/>
        <v>1802</v>
      </c>
      <c r="G707" s="2870">
        <v>1201</v>
      </c>
      <c r="H707" s="2870"/>
      <c r="I707" s="2870">
        <v>601</v>
      </c>
      <c r="J707" s="2871"/>
    </row>
    <row r="708" spans="1:10" s="2864" customFormat="1" ht="15" customHeight="1">
      <c r="A708" s="3920"/>
      <c r="B708" s="3937"/>
      <c r="C708" s="3929"/>
      <c r="D708" s="3929"/>
      <c r="E708" s="2872" t="s">
        <v>1305</v>
      </c>
      <c r="F708" s="2867">
        <f>SUM(F709:F710)</f>
        <v>0</v>
      </c>
      <c r="G708" s="2867">
        <f>SUM(G709:G710)</f>
        <v>0</v>
      </c>
      <c r="H708" s="2867">
        <f>SUM(H709:H710)</f>
        <v>0</v>
      </c>
      <c r="I708" s="2867">
        <f>SUM(I709:I710)</f>
        <v>0</v>
      </c>
      <c r="J708" s="2868">
        <f>SUM(J709:J710)</f>
        <v>0</v>
      </c>
    </row>
    <row r="709" spans="1:10" s="2864" customFormat="1" ht="15" hidden="1" customHeight="1">
      <c r="A709" s="2921"/>
      <c r="B709" s="2922"/>
      <c r="C709" s="2923"/>
      <c r="D709" s="2923"/>
      <c r="E709" s="2869"/>
      <c r="F709" s="2870">
        <f>SUM(G709:J709)</f>
        <v>0</v>
      </c>
      <c r="G709" s="2870"/>
      <c r="H709" s="2870"/>
      <c r="I709" s="2870"/>
      <c r="J709" s="2871"/>
    </row>
    <row r="710" spans="1:10" s="2864" customFormat="1" ht="15" hidden="1" customHeight="1">
      <c r="A710" s="2883"/>
      <c r="B710" s="2924"/>
      <c r="C710" s="2886"/>
      <c r="D710" s="2886"/>
      <c r="E710" s="2869"/>
      <c r="F710" s="2870">
        <f t="shared" ref="F710" si="86">SUM(G710:J710)</f>
        <v>0</v>
      </c>
      <c r="G710" s="2870"/>
      <c r="H710" s="2870"/>
      <c r="I710" s="2870"/>
      <c r="J710" s="2871"/>
    </row>
    <row r="711" spans="1:10" s="2864" customFormat="1" ht="22.5">
      <c r="A711" s="3910" t="s">
        <v>1373</v>
      </c>
      <c r="B711" s="3912" t="s">
        <v>1374</v>
      </c>
      <c r="C711" s="3927" t="s">
        <v>40</v>
      </c>
      <c r="D711" s="3927" t="s">
        <v>1043</v>
      </c>
      <c r="E711" s="2861" t="s">
        <v>1304</v>
      </c>
      <c r="F711" s="2862">
        <f>SUM(F712,F746)</f>
        <v>1650000</v>
      </c>
      <c r="G711" s="2862">
        <f>SUM(G712,G746)</f>
        <v>0</v>
      </c>
      <c r="H711" s="2862">
        <f>SUM(H712,H746)</f>
        <v>1402500</v>
      </c>
      <c r="I711" s="2862">
        <f>SUM(I712,I746)</f>
        <v>247500</v>
      </c>
      <c r="J711" s="2863">
        <f>SUM(J712,J746)</f>
        <v>0</v>
      </c>
    </row>
    <row r="712" spans="1:10" s="2864" customFormat="1" ht="21">
      <c r="A712" s="3911"/>
      <c r="B712" s="3913"/>
      <c r="C712" s="3928"/>
      <c r="D712" s="3928"/>
      <c r="E712" s="2866" t="s">
        <v>1310</v>
      </c>
      <c r="F712" s="2867">
        <f>SUM(F713,F724)</f>
        <v>1650000</v>
      </c>
      <c r="G712" s="2867">
        <f>SUM(G713,G724)</f>
        <v>0</v>
      </c>
      <c r="H712" s="2867">
        <f>SUM(H713,H724)</f>
        <v>1402500</v>
      </c>
      <c r="I712" s="2867">
        <f>SUM(I713,I724)</f>
        <v>247500</v>
      </c>
      <c r="J712" s="2868">
        <f>SUM(J713,J724)</f>
        <v>0</v>
      </c>
    </row>
    <row r="713" spans="1:10" s="2864" customFormat="1" ht="22.5">
      <c r="A713" s="3911"/>
      <c r="B713" s="3913"/>
      <c r="C713" s="3928"/>
      <c r="D713" s="3928"/>
      <c r="E713" s="2880" t="s">
        <v>1311</v>
      </c>
      <c r="F713" s="2881">
        <f>SUM(F714:F723)</f>
        <v>1493900</v>
      </c>
      <c r="G713" s="2881">
        <f t="shared" ref="G713:J713" si="87">SUM(G714:G723)</f>
        <v>0</v>
      </c>
      <c r="H713" s="2881">
        <f t="shared" si="87"/>
        <v>1269815</v>
      </c>
      <c r="I713" s="2881">
        <f t="shared" si="87"/>
        <v>224085</v>
      </c>
      <c r="J713" s="2882">
        <f t="shared" si="87"/>
        <v>0</v>
      </c>
    </row>
    <row r="714" spans="1:10" s="2864" customFormat="1" ht="15" customHeight="1">
      <c r="A714" s="3911"/>
      <c r="B714" s="3913"/>
      <c r="C714" s="3928"/>
      <c r="D714" s="3928"/>
      <c r="E714" s="2869" t="s">
        <v>828</v>
      </c>
      <c r="F714" s="2870">
        <f t="shared" ref="F714:F723" si="88">SUM(G714:J714)</f>
        <v>981750</v>
      </c>
      <c r="G714" s="2870"/>
      <c r="H714" s="2870">
        <v>981750</v>
      </c>
      <c r="I714" s="2870"/>
      <c r="J714" s="2871"/>
    </row>
    <row r="715" spans="1:10" s="2864" customFormat="1" ht="15" customHeight="1">
      <c r="A715" s="3911"/>
      <c r="B715" s="3913"/>
      <c r="C715" s="3928"/>
      <c r="D715" s="3928"/>
      <c r="E715" s="2869" t="s">
        <v>829</v>
      </c>
      <c r="F715" s="2870">
        <f t="shared" si="88"/>
        <v>173250</v>
      </c>
      <c r="G715" s="2870"/>
      <c r="H715" s="2870"/>
      <c r="I715" s="2870">
        <v>173250</v>
      </c>
      <c r="J715" s="2871"/>
    </row>
    <row r="716" spans="1:10" s="2864" customFormat="1" ht="15" customHeight="1">
      <c r="A716" s="3911"/>
      <c r="B716" s="3913"/>
      <c r="C716" s="3928"/>
      <c r="D716" s="3928"/>
      <c r="E716" s="2869" t="s">
        <v>830</v>
      </c>
      <c r="F716" s="2870">
        <f t="shared" si="88"/>
        <v>70635</v>
      </c>
      <c r="G716" s="2870"/>
      <c r="H716" s="2870">
        <v>70635</v>
      </c>
      <c r="I716" s="2870"/>
      <c r="J716" s="2871"/>
    </row>
    <row r="717" spans="1:10" s="2864" customFormat="1" ht="15" customHeight="1">
      <c r="A717" s="3911"/>
      <c r="B717" s="3913"/>
      <c r="C717" s="3928"/>
      <c r="D717" s="3928"/>
      <c r="E717" s="2869" t="s">
        <v>831</v>
      </c>
      <c r="F717" s="2870">
        <f t="shared" si="88"/>
        <v>12465</v>
      </c>
      <c r="G717" s="2870"/>
      <c r="H717" s="2870"/>
      <c r="I717" s="2870">
        <v>12465</v>
      </c>
      <c r="J717" s="2871"/>
    </row>
    <row r="718" spans="1:10" s="2864" customFormat="1" ht="15" customHeight="1">
      <c r="A718" s="3911"/>
      <c r="B718" s="3913"/>
      <c r="C718" s="3928"/>
      <c r="D718" s="3928"/>
      <c r="E718" s="2869" t="s">
        <v>832</v>
      </c>
      <c r="F718" s="2870">
        <f t="shared" si="88"/>
        <v>181305</v>
      </c>
      <c r="G718" s="2870"/>
      <c r="H718" s="2870">
        <v>181305</v>
      </c>
      <c r="I718" s="2870"/>
      <c r="J718" s="2871"/>
    </row>
    <row r="719" spans="1:10" s="2864" customFormat="1" ht="15" customHeight="1">
      <c r="A719" s="3911"/>
      <c r="B719" s="3913"/>
      <c r="C719" s="3928"/>
      <c r="D719" s="3928"/>
      <c r="E719" s="2869" t="s">
        <v>833</v>
      </c>
      <c r="F719" s="2870">
        <f t="shared" si="88"/>
        <v>31995</v>
      </c>
      <c r="G719" s="2870"/>
      <c r="H719" s="2870"/>
      <c r="I719" s="2870">
        <v>31995</v>
      </c>
      <c r="J719" s="2871"/>
    </row>
    <row r="720" spans="1:10" s="2864" customFormat="1" ht="15" customHeight="1">
      <c r="A720" s="3911"/>
      <c r="B720" s="3913"/>
      <c r="C720" s="3928"/>
      <c r="D720" s="3928"/>
      <c r="E720" s="2869" t="s">
        <v>834</v>
      </c>
      <c r="F720" s="2870">
        <f t="shared" si="88"/>
        <v>26435</v>
      </c>
      <c r="G720" s="2870"/>
      <c r="H720" s="2870">
        <v>26435</v>
      </c>
      <c r="I720" s="2870"/>
      <c r="J720" s="2871"/>
    </row>
    <row r="721" spans="1:10" s="2864" customFormat="1" ht="15" customHeight="1">
      <c r="A721" s="3911"/>
      <c r="B721" s="3913"/>
      <c r="C721" s="3928"/>
      <c r="D721" s="3928"/>
      <c r="E721" s="2869" t="s">
        <v>835</v>
      </c>
      <c r="F721" s="2870">
        <f t="shared" si="88"/>
        <v>4665</v>
      </c>
      <c r="G721" s="2870"/>
      <c r="H721" s="2870"/>
      <c r="I721" s="2870">
        <v>4665</v>
      </c>
      <c r="J721" s="2871"/>
    </row>
    <row r="722" spans="1:10" s="2864" customFormat="1" ht="15" customHeight="1">
      <c r="A722" s="3911"/>
      <c r="B722" s="3913"/>
      <c r="C722" s="3928"/>
      <c r="D722" s="3928"/>
      <c r="E722" s="2869" t="s">
        <v>855</v>
      </c>
      <c r="F722" s="2870">
        <f t="shared" si="88"/>
        <v>9690</v>
      </c>
      <c r="G722" s="2870"/>
      <c r="H722" s="2870">
        <v>9690</v>
      </c>
      <c r="I722" s="2870"/>
      <c r="J722" s="2871"/>
    </row>
    <row r="723" spans="1:10" s="2864" customFormat="1" ht="15" customHeight="1">
      <c r="A723" s="3911"/>
      <c r="B723" s="3913"/>
      <c r="C723" s="3928"/>
      <c r="D723" s="3928"/>
      <c r="E723" s="2869" t="s">
        <v>856</v>
      </c>
      <c r="F723" s="2870">
        <f t="shared" si="88"/>
        <v>1710</v>
      </c>
      <c r="G723" s="2870"/>
      <c r="H723" s="2870"/>
      <c r="I723" s="2870">
        <v>1710</v>
      </c>
      <c r="J723" s="2871"/>
    </row>
    <row r="724" spans="1:10" s="2864" customFormat="1" ht="22.5">
      <c r="A724" s="3911"/>
      <c r="B724" s="3913"/>
      <c r="C724" s="3928"/>
      <c r="D724" s="3928"/>
      <c r="E724" s="2880" t="s">
        <v>1312</v>
      </c>
      <c r="F724" s="2881">
        <f>SUM(F725:F745)</f>
        <v>156100</v>
      </c>
      <c r="G724" s="2881">
        <f t="shared" ref="G724:J724" si="89">SUM(G725:G745)</f>
        <v>0</v>
      </c>
      <c r="H724" s="2881">
        <f t="shared" si="89"/>
        <v>132685</v>
      </c>
      <c r="I724" s="2881">
        <f t="shared" si="89"/>
        <v>23415</v>
      </c>
      <c r="J724" s="2882">
        <f t="shared" si="89"/>
        <v>0</v>
      </c>
    </row>
    <row r="725" spans="1:10" s="2864" customFormat="1" ht="15" customHeight="1">
      <c r="A725" s="3911"/>
      <c r="B725" s="3913"/>
      <c r="C725" s="3928"/>
      <c r="D725" s="3928"/>
      <c r="E725" s="2869" t="s">
        <v>841</v>
      </c>
      <c r="F725" s="2870">
        <f t="shared" ref="F725:F745" si="90">SUM(G725:J725)</f>
        <v>45050</v>
      </c>
      <c r="G725" s="2870"/>
      <c r="H725" s="2870">
        <v>45050</v>
      </c>
      <c r="I725" s="2870"/>
      <c r="J725" s="2871"/>
    </row>
    <row r="726" spans="1:10" s="2864" customFormat="1" ht="15" customHeight="1">
      <c r="A726" s="3911"/>
      <c r="B726" s="3913"/>
      <c r="C726" s="3928"/>
      <c r="D726" s="3928"/>
      <c r="E726" s="2869" t="s">
        <v>842</v>
      </c>
      <c r="F726" s="2870">
        <f t="shared" si="90"/>
        <v>7950</v>
      </c>
      <c r="G726" s="2870"/>
      <c r="H726" s="2870"/>
      <c r="I726" s="2870">
        <v>7950</v>
      </c>
      <c r="J726" s="2871"/>
    </row>
    <row r="727" spans="1:10" s="2864" customFormat="1" ht="15" hidden="1" customHeight="1">
      <c r="A727" s="3911"/>
      <c r="B727" s="3913"/>
      <c r="C727" s="3928"/>
      <c r="D727" s="3928"/>
      <c r="E727" s="2869" t="s">
        <v>1049</v>
      </c>
      <c r="F727" s="2870">
        <f t="shared" si="90"/>
        <v>0</v>
      </c>
      <c r="G727" s="2870"/>
      <c r="H727" s="2870"/>
      <c r="I727" s="2870"/>
      <c r="J727" s="2871"/>
    </row>
    <row r="728" spans="1:10" s="2864" customFormat="1" ht="15" hidden="1" customHeight="1">
      <c r="A728" s="3911"/>
      <c r="B728" s="3913"/>
      <c r="C728" s="3928"/>
      <c r="D728" s="3928"/>
      <c r="E728" s="2869" t="s">
        <v>1050</v>
      </c>
      <c r="F728" s="2870">
        <f t="shared" si="90"/>
        <v>0</v>
      </c>
      <c r="G728" s="2870"/>
      <c r="H728" s="2870"/>
      <c r="I728" s="2870"/>
      <c r="J728" s="2871"/>
    </row>
    <row r="729" spans="1:10" s="2864" customFormat="1" ht="15" customHeight="1">
      <c r="A729" s="3911"/>
      <c r="B729" s="3913"/>
      <c r="C729" s="3928"/>
      <c r="D729" s="3928"/>
      <c r="E729" s="2869" t="s">
        <v>1023</v>
      </c>
      <c r="F729" s="2870">
        <f t="shared" si="90"/>
        <v>16600</v>
      </c>
      <c r="G729" s="2870"/>
      <c r="H729" s="2870">
        <v>16600</v>
      </c>
      <c r="I729" s="2870"/>
      <c r="J729" s="2871"/>
    </row>
    <row r="730" spans="1:10" s="2864" customFormat="1" ht="15" customHeight="1">
      <c r="A730" s="3911"/>
      <c r="B730" s="3913"/>
      <c r="C730" s="3928"/>
      <c r="D730" s="3928"/>
      <c r="E730" s="2869" t="s">
        <v>1024</v>
      </c>
      <c r="F730" s="2870">
        <f t="shared" si="90"/>
        <v>2929</v>
      </c>
      <c r="G730" s="2870"/>
      <c r="H730" s="2870"/>
      <c r="I730" s="2870">
        <v>2929</v>
      </c>
      <c r="J730" s="2871"/>
    </row>
    <row r="731" spans="1:10" s="2864" customFormat="1" ht="15" customHeight="1">
      <c r="A731" s="3911"/>
      <c r="B731" s="3913"/>
      <c r="C731" s="3928"/>
      <c r="D731" s="3928"/>
      <c r="E731" s="2869" t="s">
        <v>845</v>
      </c>
      <c r="F731" s="2870">
        <f t="shared" si="90"/>
        <v>38990</v>
      </c>
      <c r="G731" s="2870"/>
      <c r="H731" s="2870">
        <v>38990</v>
      </c>
      <c r="I731" s="2870"/>
      <c r="J731" s="2871"/>
    </row>
    <row r="732" spans="1:10" s="2864" customFormat="1" ht="15" customHeight="1">
      <c r="A732" s="3911"/>
      <c r="B732" s="3913"/>
      <c r="C732" s="3928"/>
      <c r="D732" s="3928"/>
      <c r="E732" s="2869" t="s">
        <v>846</v>
      </c>
      <c r="F732" s="2870">
        <f t="shared" si="90"/>
        <v>6881</v>
      </c>
      <c r="G732" s="2870"/>
      <c r="H732" s="2870"/>
      <c r="I732" s="2870">
        <v>6881</v>
      </c>
      <c r="J732" s="2871"/>
    </row>
    <row r="733" spans="1:10" s="2864" customFormat="1" ht="15" customHeight="1">
      <c r="A733" s="3911"/>
      <c r="B733" s="3913"/>
      <c r="C733" s="3928"/>
      <c r="D733" s="3928"/>
      <c r="E733" s="2869" t="s">
        <v>1027</v>
      </c>
      <c r="F733" s="2870">
        <f t="shared" si="90"/>
        <v>1020</v>
      </c>
      <c r="G733" s="2870"/>
      <c r="H733" s="2870">
        <v>1020</v>
      </c>
      <c r="I733" s="2870"/>
      <c r="J733" s="2871"/>
    </row>
    <row r="734" spans="1:10" s="2864" customFormat="1" ht="15" customHeight="1">
      <c r="A734" s="3911"/>
      <c r="B734" s="3913"/>
      <c r="C734" s="3928"/>
      <c r="D734" s="3928"/>
      <c r="E734" s="2869" t="s">
        <v>1053</v>
      </c>
      <c r="F734" s="2870">
        <f t="shared" si="90"/>
        <v>180</v>
      </c>
      <c r="G734" s="2870"/>
      <c r="H734" s="2870"/>
      <c r="I734" s="2870">
        <v>180</v>
      </c>
      <c r="J734" s="2871"/>
    </row>
    <row r="735" spans="1:10" s="2864" customFormat="1" ht="15" customHeight="1">
      <c r="A735" s="3911"/>
      <c r="B735" s="3913"/>
      <c r="C735" s="3928"/>
      <c r="D735" s="3928"/>
      <c r="E735" s="2869" t="s">
        <v>1029</v>
      </c>
      <c r="F735" s="2870">
        <f t="shared" si="90"/>
        <v>11050</v>
      </c>
      <c r="G735" s="2870"/>
      <c r="H735" s="2870">
        <v>11050</v>
      </c>
      <c r="I735" s="2870"/>
      <c r="J735" s="2871"/>
    </row>
    <row r="736" spans="1:10" s="2864" customFormat="1" ht="15" customHeight="1">
      <c r="A736" s="3911"/>
      <c r="B736" s="3913"/>
      <c r="C736" s="3928"/>
      <c r="D736" s="3928"/>
      <c r="E736" s="2869" t="s">
        <v>1030</v>
      </c>
      <c r="F736" s="2870">
        <f t="shared" si="90"/>
        <v>1950</v>
      </c>
      <c r="G736" s="2870"/>
      <c r="H736" s="2870"/>
      <c r="I736" s="2870">
        <v>1950</v>
      </c>
      <c r="J736" s="2871"/>
    </row>
    <row r="737" spans="1:17" s="2864" customFormat="1" ht="15" customHeight="1">
      <c r="A737" s="3911"/>
      <c r="B737" s="3913"/>
      <c r="C737" s="3928"/>
      <c r="D737" s="3928"/>
      <c r="E737" s="2869" t="s">
        <v>849</v>
      </c>
      <c r="F737" s="2870">
        <f t="shared" si="90"/>
        <v>2550</v>
      </c>
      <c r="G737" s="2870"/>
      <c r="H737" s="2870">
        <v>2550</v>
      </c>
      <c r="I737" s="2870"/>
      <c r="J737" s="2871"/>
    </row>
    <row r="738" spans="1:17" s="2864" customFormat="1" ht="15" customHeight="1">
      <c r="A738" s="3911"/>
      <c r="B738" s="3913"/>
      <c r="C738" s="3928"/>
      <c r="D738" s="3928"/>
      <c r="E738" s="2869" t="s">
        <v>850</v>
      </c>
      <c r="F738" s="2870">
        <f t="shared" si="90"/>
        <v>450</v>
      </c>
      <c r="G738" s="2870"/>
      <c r="H738" s="2870"/>
      <c r="I738" s="2870">
        <v>450</v>
      </c>
      <c r="J738" s="2871"/>
    </row>
    <row r="739" spans="1:17" s="2864" customFormat="1" ht="15" customHeight="1">
      <c r="A739" s="3911"/>
      <c r="B739" s="3913"/>
      <c r="C739" s="3928"/>
      <c r="D739" s="3928"/>
      <c r="E739" s="2869" t="s">
        <v>1031</v>
      </c>
      <c r="F739" s="2870">
        <f t="shared" si="90"/>
        <v>425</v>
      </c>
      <c r="G739" s="2870"/>
      <c r="H739" s="2870">
        <v>425</v>
      </c>
      <c r="I739" s="2870"/>
      <c r="J739" s="2871"/>
    </row>
    <row r="740" spans="1:17" s="2864" customFormat="1" ht="15" customHeight="1">
      <c r="A740" s="3911"/>
      <c r="B740" s="3913"/>
      <c r="C740" s="3928"/>
      <c r="D740" s="3928"/>
      <c r="E740" s="2869" t="s">
        <v>1032</v>
      </c>
      <c r="F740" s="2870">
        <f t="shared" si="90"/>
        <v>75</v>
      </c>
      <c r="G740" s="2870"/>
      <c r="H740" s="2870"/>
      <c r="I740" s="2870">
        <v>75</v>
      </c>
      <c r="J740" s="2871"/>
    </row>
    <row r="741" spans="1:17" s="2864" customFormat="1" ht="15" customHeight="1">
      <c r="A741" s="3911"/>
      <c r="B741" s="3913"/>
      <c r="C741" s="3928"/>
      <c r="D741" s="3928"/>
      <c r="E741" s="2869" t="s">
        <v>853</v>
      </c>
      <c r="F741" s="2870">
        <f t="shared" si="90"/>
        <v>17000</v>
      </c>
      <c r="G741" s="2870"/>
      <c r="H741" s="2870">
        <v>17000</v>
      </c>
      <c r="I741" s="2870"/>
      <c r="J741" s="2871"/>
    </row>
    <row r="742" spans="1:17" s="2864" customFormat="1" ht="15" customHeight="1">
      <c r="A742" s="3911"/>
      <c r="B742" s="3913"/>
      <c r="C742" s="3928"/>
      <c r="D742" s="3928"/>
      <c r="E742" s="2869" t="s">
        <v>854</v>
      </c>
      <c r="F742" s="2870">
        <f t="shared" si="90"/>
        <v>3000</v>
      </c>
      <c r="G742" s="2870"/>
      <c r="H742" s="2870"/>
      <c r="I742" s="2870">
        <v>3000</v>
      </c>
      <c r="J742" s="2871"/>
    </row>
    <row r="743" spans="1:17" s="2864" customFormat="1" ht="15" hidden="1" customHeight="1">
      <c r="A743" s="3911"/>
      <c r="B743" s="3913"/>
      <c r="C743" s="3928"/>
      <c r="D743" s="3928"/>
      <c r="E743" s="2869" t="s">
        <v>653</v>
      </c>
      <c r="F743" s="2870">
        <f t="shared" si="90"/>
        <v>0</v>
      </c>
      <c r="G743" s="2870"/>
      <c r="H743" s="2870"/>
      <c r="I743" s="2870"/>
      <c r="J743" s="2871"/>
    </row>
    <row r="744" spans="1:17" s="2864" customFormat="1" ht="15" hidden="1" customHeight="1">
      <c r="A744" s="3911"/>
      <c r="B744" s="3913"/>
      <c r="C744" s="3928"/>
      <c r="D744" s="3928"/>
      <c r="E744" s="2869" t="s">
        <v>591</v>
      </c>
      <c r="F744" s="2870">
        <f t="shared" si="90"/>
        <v>0</v>
      </c>
      <c r="G744" s="2870"/>
      <c r="H744" s="2870"/>
      <c r="I744" s="2870"/>
      <c r="J744" s="2871"/>
    </row>
    <row r="745" spans="1:17" s="2864" customFormat="1" ht="15" hidden="1" customHeight="1">
      <c r="A745" s="3911"/>
      <c r="B745" s="3913"/>
      <c r="C745" s="3928"/>
      <c r="D745" s="3928"/>
      <c r="E745" s="2869" t="s">
        <v>881</v>
      </c>
      <c r="F745" s="2870">
        <f t="shared" si="90"/>
        <v>0</v>
      </c>
      <c r="G745" s="2870"/>
      <c r="H745" s="2870"/>
      <c r="I745" s="2870"/>
      <c r="J745" s="2871"/>
    </row>
    <row r="746" spans="1:17" s="2864" customFormat="1" ht="15" customHeight="1">
      <c r="A746" s="3920"/>
      <c r="B746" s="3937"/>
      <c r="C746" s="3929"/>
      <c r="D746" s="3929"/>
      <c r="E746" s="2872" t="s">
        <v>1305</v>
      </c>
      <c r="F746" s="2867">
        <f>SUM(F747:F748)</f>
        <v>0</v>
      </c>
      <c r="G746" s="2867">
        <f>SUM(G747:G748)</f>
        <v>0</v>
      </c>
      <c r="H746" s="2867">
        <f>SUM(H747:H748)</f>
        <v>0</v>
      </c>
      <c r="I746" s="2867">
        <f>SUM(I747:I748)</f>
        <v>0</v>
      </c>
      <c r="J746" s="2868">
        <f>SUM(J747:J748)</f>
        <v>0</v>
      </c>
    </row>
    <row r="747" spans="1:17" s="2864" customFormat="1" ht="15" hidden="1" customHeight="1">
      <c r="A747" s="2891"/>
      <c r="B747" s="2910"/>
      <c r="C747" s="2894"/>
      <c r="D747" s="2894"/>
      <c r="E747" s="2895" t="s">
        <v>933</v>
      </c>
      <c r="F747" s="2896">
        <f>SUM(G747:J747)</f>
        <v>0</v>
      </c>
      <c r="G747" s="2896"/>
      <c r="H747" s="2896"/>
      <c r="I747" s="2896"/>
      <c r="J747" s="2897"/>
    </row>
    <row r="748" spans="1:17" s="2864" customFormat="1" ht="15" hidden="1" customHeight="1">
      <c r="A748" s="2891"/>
      <c r="B748" s="2910"/>
      <c r="C748" s="2894"/>
      <c r="D748" s="2894"/>
      <c r="E748" s="2916">
        <v>6069</v>
      </c>
      <c r="F748" s="2896">
        <f>SUM(G748:J748)</f>
        <v>0</v>
      </c>
      <c r="G748" s="2896"/>
      <c r="H748" s="2896"/>
      <c r="I748" s="2896"/>
      <c r="J748" s="2897"/>
    </row>
    <row r="749" spans="1:17" s="2864" customFormat="1" ht="22.5">
      <c r="A749" s="3934" t="s">
        <v>1375</v>
      </c>
      <c r="B749" s="3935" t="s">
        <v>1376</v>
      </c>
      <c r="C749" s="3939" t="s">
        <v>40</v>
      </c>
      <c r="D749" s="3939" t="s">
        <v>1043</v>
      </c>
      <c r="E749" s="2861" t="s">
        <v>1304</v>
      </c>
      <c r="F749" s="2862">
        <f>SUM(F750,F774)</f>
        <v>407626</v>
      </c>
      <c r="G749" s="2862">
        <f>SUM(G750,G774)</f>
        <v>40763</v>
      </c>
      <c r="H749" s="2862">
        <f>SUM(H750,H774)</f>
        <v>311836</v>
      </c>
      <c r="I749" s="2862">
        <f>SUM(I750,I774)</f>
        <v>55027</v>
      </c>
      <c r="J749" s="2863">
        <f>SUM(J750,J774)</f>
        <v>0</v>
      </c>
      <c r="K749" s="2925"/>
      <c r="L749" s="2925"/>
      <c r="M749" s="2925"/>
      <c r="N749" s="2925"/>
      <c r="O749" s="2925"/>
      <c r="P749" s="2865"/>
      <c r="Q749" s="2865"/>
    </row>
    <row r="750" spans="1:17" s="2864" customFormat="1" ht="21">
      <c r="A750" s="3934"/>
      <c r="B750" s="3935"/>
      <c r="C750" s="3939"/>
      <c r="D750" s="3939"/>
      <c r="E750" s="2866" t="s">
        <v>1310</v>
      </c>
      <c r="F750" s="2867">
        <f>SUM(F751,F754,F765)</f>
        <v>407626</v>
      </c>
      <c r="G750" s="2867">
        <f>SUM(G751,G754,G765)</f>
        <v>40763</v>
      </c>
      <c r="H750" s="2867">
        <f>SUM(H751,H754,H765)</f>
        <v>311836</v>
      </c>
      <c r="I750" s="2867">
        <f>SUM(I751,I754,I765)</f>
        <v>55027</v>
      </c>
      <c r="J750" s="2868">
        <f>SUM(J751,J754,J765)</f>
        <v>0</v>
      </c>
      <c r="K750" s="2878"/>
      <c r="L750" s="2878"/>
      <c r="M750" s="2878"/>
      <c r="N750" s="2878"/>
      <c r="O750" s="2878"/>
      <c r="P750" s="2865"/>
      <c r="Q750" s="2865"/>
    </row>
    <row r="751" spans="1:17" s="2864" customFormat="1" ht="22.5" hidden="1">
      <c r="A751" s="3934"/>
      <c r="B751" s="3935"/>
      <c r="C751" s="3939"/>
      <c r="D751" s="3939"/>
      <c r="E751" s="2880" t="s">
        <v>1377</v>
      </c>
      <c r="F751" s="2881">
        <f>SUM(F752:F753)</f>
        <v>0</v>
      </c>
      <c r="G751" s="2881">
        <f t="shared" ref="G751:J751" si="91">SUM(G752:G753)</f>
        <v>0</v>
      </c>
      <c r="H751" s="2881">
        <f t="shared" si="91"/>
        <v>0</v>
      </c>
      <c r="I751" s="2881">
        <f t="shared" si="91"/>
        <v>0</v>
      </c>
      <c r="J751" s="2882">
        <f t="shared" si="91"/>
        <v>0</v>
      </c>
      <c r="K751" s="2878"/>
      <c r="L751" s="2878"/>
      <c r="M751" s="2878"/>
      <c r="N751" s="2878"/>
      <c r="O751" s="2878"/>
      <c r="P751" s="2865"/>
      <c r="Q751" s="2865"/>
    </row>
    <row r="752" spans="1:17" s="2864" customFormat="1" ht="15" hidden="1" customHeight="1">
      <c r="A752" s="3934"/>
      <c r="B752" s="3935"/>
      <c r="C752" s="3939"/>
      <c r="D752" s="3939"/>
      <c r="E752" s="2869" t="s">
        <v>484</v>
      </c>
      <c r="F752" s="2870">
        <f t="shared" ref="F752:F753" si="92">SUM(G752:J752)</f>
        <v>0</v>
      </c>
      <c r="G752" s="2870"/>
      <c r="H752" s="2870"/>
      <c r="I752" s="2870"/>
      <c r="J752" s="2871"/>
      <c r="K752" s="2878"/>
      <c r="L752" s="2878"/>
      <c r="M752" s="2878"/>
      <c r="N752" s="2878"/>
      <c r="O752" s="2878"/>
      <c r="P752" s="2865"/>
      <c r="Q752" s="2865"/>
    </row>
    <row r="753" spans="1:17" s="2864" customFormat="1" ht="15" hidden="1" customHeight="1">
      <c r="A753" s="3934"/>
      <c r="B753" s="3935"/>
      <c r="C753" s="3939"/>
      <c r="D753" s="3939"/>
      <c r="E753" s="2869" t="s">
        <v>649</v>
      </c>
      <c r="F753" s="2870">
        <f t="shared" si="92"/>
        <v>0</v>
      </c>
      <c r="G753" s="2870"/>
      <c r="H753" s="2870"/>
      <c r="I753" s="2870"/>
      <c r="J753" s="2871"/>
      <c r="K753" s="2878"/>
      <c r="L753" s="2878"/>
      <c r="M753" s="2878"/>
      <c r="N753" s="2878"/>
      <c r="O753" s="2878"/>
      <c r="P753" s="2865"/>
      <c r="Q753" s="2865"/>
    </row>
    <row r="754" spans="1:17" s="2864" customFormat="1" ht="22.5">
      <c r="A754" s="3934"/>
      <c r="B754" s="3935"/>
      <c r="C754" s="3939"/>
      <c r="D754" s="3939"/>
      <c r="E754" s="2880" t="s">
        <v>1311</v>
      </c>
      <c r="F754" s="2881">
        <f>SUM(F755:F764)</f>
        <v>21153</v>
      </c>
      <c r="G754" s="2881">
        <f>SUM(G755:G764)</f>
        <v>2116</v>
      </c>
      <c r="H754" s="2881">
        <f>SUM(H755:H764)</f>
        <v>16184</v>
      </c>
      <c r="I754" s="2881">
        <f>SUM(I755:I764)</f>
        <v>2853</v>
      </c>
      <c r="J754" s="2882">
        <f>SUM(J755:J764)</f>
        <v>0</v>
      </c>
      <c r="K754" s="2878"/>
      <c r="L754" s="2878"/>
      <c r="M754" s="2878"/>
      <c r="N754" s="2878"/>
      <c r="O754" s="2878"/>
      <c r="P754" s="2865"/>
      <c r="Q754" s="2865"/>
    </row>
    <row r="755" spans="1:17" s="2864" customFormat="1" ht="15" customHeight="1">
      <c r="A755" s="3934"/>
      <c r="B755" s="3935"/>
      <c r="C755" s="3939"/>
      <c r="D755" s="3939"/>
      <c r="E755" s="2869" t="s">
        <v>828</v>
      </c>
      <c r="F755" s="2870">
        <f t="shared" ref="F755:F764" si="93">SUM(G755:J755)</f>
        <v>13490</v>
      </c>
      <c r="G755" s="2870"/>
      <c r="H755" s="2870">
        <v>13490</v>
      </c>
      <c r="I755" s="2870"/>
      <c r="J755" s="2871"/>
      <c r="K755" s="2878"/>
      <c r="L755" s="2878"/>
      <c r="M755" s="2878"/>
      <c r="N755" s="2878"/>
      <c r="O755" s="2878"/>
      <c r="P755" s="2865"/>
      <c r="Q755" s="2865"/>
    </row>
    <row r="756" spans="1:17" s="2864" customFormat="1" ht="15" customHeight="1">
      <c r="A756" s="3934"/>
      <c r="B756" s="3935"/>
      <c r="C756" s="3939"/>
      <c r="D756" s="3939"/>
      <c r="E756" s="2869" t="s">
        <v>829</v>
      </c>
      <c r="F756" s="2870">
        <f t="shared" si="93"/>
        <v>4140</v>
      </c>
      <c r="G756" s="2870">
        <v>1763</v>
      </c>
      <c r="H756" s="2870"/>
      <c r="I756" s="2870">
        <v>2377</v>
      </c>
      <c r="J756" s="2871"/>
      <c r="K756" s="2865"/>
      <c r="L756" s="2865"/>
      <c r="M756" s="2865"/>
      <c r="N756" s="2865"/>
      <c r="O756" s="2865"/>
      <c r="P756" s="2865"/>
      <c r="Q756" s="2865"/>
    </row>
    <row r="757" spans="1:17" s="2864" customFormat="1" ht="15" hidden="1" customHeight="1">
      <c r="A757" s="3934"/>
      <c r="B757" s="3935"/>
      <c r="C757" s="3939"/>
      <c r="D757" s="3939"/>
      <c r="E757" s="2869" t="s">
        <v>830</v>
      </c>
      <c r="F757" s="2870">
        <f t="shared" si="93"/>
        <v>0</v>
      </c>
      <c r="G757" s="2870"/>
      <c r="H757" s="2870"/>
      <c r="I757" s="2870"/>
      <c r="J757" s="2871"/>
      <c r="K757" s="2865"/>
      <c r="L757" s="2865"/>
      <c r="M757" s="2865"/>
      <c r="N757" s="2865"/>
      <c r="O757" s="2865"/>
      <c r="P757" s="2865"/>
      <c r="Q757" s="2865"/>
    </row>
    <row r="758" spans="1:17" s="2864" customFormat="1" ht="15" hidden="1" customHeight="1">
      <c r="A758" s="3934"/>
      <c r="B758" s="3935"/>
      <c r="C758" s="3939"/>
      <c r="D758" s="3939"/>
      <c r="E758" s="2869" t="s">
        <v>831</v>
      </c>
      <c r="F758" s="2870">
        <f t="shared" si="93"/>
        <v>0</v>
      </c>
      <c r="G758" s="2870"/>
      <c r="H758" s="2870"/>
      <c r="I758" s="2870"/>
      <c r="J758" s="2871"/>
      <c r="K758" s="2865"/>
      <c r="L758" s="2865"/>
      <c r="M758" s="2865"/>
      <c r="N758" s="2865"/>
      <c r="O758" s="2865"/>
      <c r="P758" s="2865"/>
      <c r="Q758" s="2865"/>
    </row>
    <row r="759" spans="1:17" s="2864" customFormat="1" ht="15" customHeight="1">
      <c r="A759" s="3934"/>
      <c r="B759" s="3935"/>
      <c r="C759" s="3939"/>
      <c r="D759" s="3939"/>
      <c r="E759" s="2869" t="s">
        <v>832</v>
      </c>
      <c r="F759" s="2870">
        <f t="shared" si="93"/>
        <v>2322</v>
      </c>
      <c r="G759" s="2870"/>
      <c r="H759" s="2870">
        <v>2322</v>
      </c>
      <c r="I759" s="2870"/>
      <c r="J759" s="2871"/>
      <c r="K759" s="2865"/>
      <c r="L759" s="2865"/>
      <c r="M759" s="2865"/>
      <c r="N759" s="2865"/>
      <c r="O759" s="2865"/>
      <c r="P759" s="2865"/>
      <c r="Q759" s="2865"/>
    </row>
    <row r="760" spans="1:17" s="2864" customFormat="1" ht="15" customHeight="1">
      <c r="A760" s="3934"/>
      <c r="B760" s="3935"/>
      <c r="C760" s="3939"/>
      <c r="D760" s="3939"/>
      <c r="E760" s="2869" t="s">
        <v>833</v>
      </c>
      <c r="F760" s="2870">
        <f t="shared" si="93"/>
        <v>713</v>
      </c>
      <c r="G760" s="2870">
        <v>303</v>
      </c>
      <c r="H760" s="2870"/>
      <c r="I760" s="2870">
        <v>410</v>
      </c>
      <c r="J760" s="2871"/>
      <c r="K760" s="2865"/>
      <c r="L760" s="2865"/>
      <c r="M760" s="2865"/>
      <c r="N760" s="2865"/>
      <c r="O760" s="2865"/>
      <c r="P760" s="2865"/>
      <c r="Q760" s="2865"/>
    </row>
    <row r="761" spans="1:17" s="2864" customFormat="1" ht="15" customHeight="1">
      <c r="A761" s="3934"/>
      <c r="B761" s="3935"/>
      <c r="C761" s="3939"/>
      <c r="D761" s="3939"/>
      <c r="E761" s="2869" t="s">
        <v>834</v>
      </c>
      <c r="F761" s="2870">
        <f t="shared" si="93"/>
        <v>330</v>
      </c>
      <c r="G761" s="2870"/>
      <c r="H761" s="2870">
        <v>330</v>
      </c>
      <c r="I761" s="2870"/>
      <c r="J761" s="2871"/>
      <c r="K761" s="2865"/>
      <c r="L761" s="2865"/>
      <c r="M761" s="2865"/>
      <c r="N761" s="2865"/>
      <c r="O761" s="2865"/>
      <c r="P761" s="2865"/>
      <c r="Q761" s="2865"/>
    </row>
    <row r="762" spans="1:17" s="2864" customFormat="1" ht="15" customHeight="1">
      <c r="A762" s="3934"/>
      <c r="B762" s="3935"/>
      <c r="C762" s="3939"/>
      <c r="D762" s="3939"/>
      <c r="E762" s="2869" t="s">
        <v>835</v>
      </c>
      <c r="F762" s="2870">
        <f t="shared" si="93"/>
        <v>102</v>
      </c>
      <c r="G762" s="2870">
        <v>44</v>
      </c>
      <c r="H762" s="2870"/>
      <c r="I762" s="2870">
        <v>58</v>
      </c>
      <c r="J762" s="2871"/>
      <c r="K762" s="2865"/>
      <c r="L762" s="2865"/>
      <c r="M762" s="2865"/>
      <c r="N762" s="2865"/>
      <c r="O762" s="2865"/>
      <c r="P762" s="2865"/>
      <c r="Q762" s="2865"/>
    </row>
    <row r="763" spans="1:17" s="2864" customFormat="1" ht="15" customHeight="1">
      <c r="A763" s="3934"/>
      <c r="B763" s="3935"/>
      <c r="C763" s="3939"/>
      <c r="D763" s="3939"/>
      <c r="E763" s="2869" t="s">
        <v>855</v>
      </c>
      <c r="F763" s="2870">
        <f t="shared" si="93"/>
        <v>42</v>
      </c>
      <c r="G763" s="2870"/>
      <c r="H763" s="2870">
        <v>42</v>
      </c>
      <c r="I763" s="2870"/>
      <c r="J763" s="2871"/>
      <c r="K763" s="2865"/>
      <c r="L763" s="2865"/>
      <c r="M763" s="2865"/>
      <c r="N763" s="2865"/>
      <c r="O763" s="2865"/>
      <c r="P763" s="2865"/>
      <c r="Q763" s="2865"/>
    </row>
    <row r="764" spans="1:17" s="2864" customFormat="1" ht="15" customHeight="1">
      <c r="A764" s="3934"/>
      <c r="B764" s="3935"/>
      <c r="C764" s="3939"/>
      <c r="D764" s="3939"/>
      <c r="E764" s="2869" t="s">
        <v>856</v>
      </c>
      <c r="F764" s="2870">
        <f t="shared" si="93"/>
        <v>14</v>
      </c>
      <c r="G764" s="2870">
        <v>6</v>
      </c>
      <c r="H764" s="2870"/>
      <c r="I764" s="2870">
        <v>8</v>
      </c>
      <c r="J764" s="2871"/>
      <c r="K764" s="2865"/>
      <c r="L764" s="2865"/>
      <c r="M764" s="2865"/>
      <c r="N764" s="2865"/>
      <c r="O764" s="2865"/>
      <c r="P764" s="2865"/>
      <c r="Q764" s="2865"/>
    </row>
    <row r="765" spans="1:17" s="2864" customFormat="1" ht="22.5">
      <c r="A765" s="3934"/>
      <c r="B765" s="3935"/>
      <c r="C765" s="3939"/>
      <c r="D765" s="3939"/>
      <c r="E765" s="2880" t="s">
        <v>1312</v>
      </c>
      <c r="F765" s="2881">
        <f>SUM(F766:F773)</f>
        <v>386473</v>
      </c>
      <c r="G765" s="2881">
        <f>SUM(G766:G773)</f>
        <v>38647</v>
      </c>
      <c r="H765" s="2881">
        <f>SUM(H766:H773)</f>
        <v>295652</v>
      </c>
      <c r="I765" s="2881">
        <f>SUM(I766:I773)</f>
        <v>52174</v>
      </c>
      <c r="J765" s="2882">
        <f>SUM(J766:J773)</f>
        <v>0</v>
      </c>
      <c r="K765" s="2865"/>
      <c r="L765" s="2865"/>
      <c r="M765" s="2865"/>
      <c r="N765" s="2865"/>
      <c r="O765" s="2865"/>
      <c r="P765" s="2865"/>
      <c r="Q765" s="2865"/>
    </row>
    <row r="766" spans="1:17" s="2864" customFormat="1" ht="15" customHeight="1">
      <c r="A766" s="3934"/>
      <c r="B766" s="3935"/>
      <c r="C766" s="3939"/>
      <c r="D766" s="3939"/>
      <c r="E766" s="2869" t="s">
        <v>845</v>
      </c>
      <c r="F766" s="2870">
        <f t="shared" ref="F766:F773" si="94">SUM(G766:J766)</f>
        <v>211375</v>
      </c>
      <c r="G766" s="2870"/>
      <c r="H766" s="2870">
        <v>211375</v>
      </c>
      <c r="I766" s="2870"/>
      <c r="J766" s="2871"/>
      <c r="K766" s="2865"/>
      <c r="L766" s="2865"/>
      <c r="M766" s="2865"/>
      <c r="N766" s="2865"/>
      <c r="O766" s="2865"/>
      <c r="P766" s="2865"/>
      <c r="Q766" s="2865"/>
    </row>
    <row r="767" spans="1:17" s="2864" customFormat="1" ht="15" customHeight="1">
      <c r="A767" s="3934"/>
      <c r="B767" s="3935"/>
      <c r="C767" s="3939"/>
      <c r="D767" s="3939"/>
      <c r="E767" s="2869" t="s">
        <v>846</v>
      </c>
      <c r="F767" s="2870">
        <f t="shared" si="94"/>
        <v>64932</v>
      </c>
      <c r="G767" s="2870">
        <v>27630</v>
      </c>
      <c r="H767" s="2870"/>
      <c r="I767" s="2870">
        <v>37302</v>
      </c>
      <c r="J767" s="2871"/>
      <c r="K767" s="2865"/>
      <c r="L767" s="2865"/>
      <c r="M767" s="2865"/>
      <c r="N767" s="2865"/>
      <c r="O767" s="2865"/>
      <c r="P767" s="2865"/>
      <c r="Q767" s="2865"/>
    </row>
    <row r="768" spans="1:17" s="2864" customFormat="1" ht="15" customHeight="1">
      <c r="A768" s="3934"/>
      <c r="B768" s="3935"/>
      <c r="C768" s="3939"/>
      <c r="D768" s="3939"/>
      <c r="E768" s="2869" t="s">
        <v>847</v>
      </c>
      <c r="F768" s="2870">
        <f t="shared" si="94"/>
        <v>76500</v>
      </c>
      <c r="G768" s="2870"/>
      <c r="H768" s="2870">
        <v>76500</v>
      </c>
      <c r="I768" s="2870"/>
      <c r="J768" s="2871"/>
      <c r="K768" s="2865"/>
      <c r="L768" s="2865"/>
      <c r="M768" s="2865"/>
      <c r="N768" s="2865"/>
      <c r="O768" s="2865"/>
      <c r="P768" s="2865"/>
      <c r="Q768" s="2865"/>
    </row>
    <row r="769" spans="1:17" s="2864" customFormat="1" ht="15" customHeight="1">
      <c r="A769" s="3934"/>
      <c r="B769" s="3935"/>
      <c r="C769" s="3939"/>
      <c r="D769" s="3939"/>
      <c r="E769" s="2869" t="s">
        <v>848</v>
      </c>
      <c r="F769" s="2870">
        <f t="shared" si="94"/>
        <v>23500</v>
      </c>
      <c r="G769" s="2870">
        <v>10000</v>
      </c>
      <c r="H769" s="2870"/>
      <c r="I769" s="2870">
        <v>13500</v>
      </c>
      <c r="J769" s="2871"/>
      <c r="K769" s="2865"/>
      <c r="L769" s="2865"/>
      <c r="M769" s="2865"/>
      <c r="N769" s="2865"/>
      <c r="O769" s="2865"/>
      <c r="P769" s="2865"/>
      <c r="Q769" s="2865"/>
    </row>
    <row r="770" spans="1:17" s="2864" customFormat="1" ht="15" customHeight="1">
      <c r="A770" s="3934"/>
      <c r="B770" s="3935"/>
      <c r="C770" s="3939"/>
      <c r="D770" s="3939"/>
      <c r="E770" s="2869" t="s">
        <v>849</v>
      </c>
      <c r="F770" s="2870">
        <f t="shared" si="94"/>
        <v>3888</v>
      </c>
      <c r="G770" s="2870"/>
      <c r="H770" s="2870">
        <v>3888</v>
      </c>
      <c r="I770" s="2870"/>
      <c r="J770" s="2871"/>
    </row>
    <row r="771" spans="1:17" s="2864" customFormat="1" ht="15" customHeight="1">
      <c r="A771" s="3934"/>
      <c r="B771" s="3935"/>
      <c r="C771" s="3939"/>
      <c r="D771" s="3939"/>
      <c r="E771" s="2869" t="s">
        <v>850</v>
      </c>
      <c r="F771" s="2870">
        <f t="shared" si="94"/>
        <v>1194</v>
      </c>
      <c r="G771" s="2870">
        <v>508</v>
      </c>
      <c r="H771" s="2870"/>
      <c r="I771" s="2870">
        <v>686</v>
      </c>
      <c r="J771" s="2871"/>
    </row>
    <row r="772" spans="1:17" s="2864" customFormat="1" ht="15" customHeight="1">
      <c r="A772" s="3934"/>
      <c r="B772" s="3935"/>
      <c r="C772" s="3939"/>
      <c r="D772" s="3939"/>
      <c r="E772" s="2869" t="s">
        <v>853</v>
      </c>
      <c r="F772" s="2870">
        <f t="shared" si="94"/>
        <v>3889</v>
      </c>
      <c r="G772" s="2870"/>
      <c r="H772" s="2870">
        <v>3889</v>
      </c>
      <c r="I772" s="2870"/>
      <c r="J772" s="2871"/>
    </row>
    <row r="773" spans="1:17" s="2864" customFormat="1" ht="15" customHeight="1">
      <c r="A773" s="3934"/>
      <c r="B773" s="3935"/>
      <c r="C773" s="3939"/>
      <c r="D773" s="3939"/>
      <c r="E773" s="2869" t="s">
        <v>854</v>
      </c>
      <c r="F773" s="2870">
        <f t="shared" si="94"/>
        <v>1195</v>
      </c>
      <c r="G773" s="2870">
        <v>509</v>
      </c>
      <c r="H773" s="2870"/>
      <c r="I773" s="2870">
        <v>686</v>
      </c>
      <c r="J773" s="2871"/>
    </row>
    <row r="774" spans="1:17" s="2864" customFormat="1" ht="15" customHeight="1">
      <c r="A774" s="3934"/>
      <c r="B774" s="3935"/>
      <c r="C774" s="3939"/>
      <c r="D774" s="3939"/>
      <c r="E774" s="2872" t="s">
        <v>1305</v>
      </c>
      <c r="F774" s="2867">
        <f>SUM(F775:F776)</f>
        <v>0</v>
      </c>
      <c r="G774" s="2867">
        <f>SUM(G775:G776)</f>
        <v>0</v>
      </c>
      <c r="H774" s="2867">
        <f>SUM(H775:H776)</f>
        <v>0</v>
      </c>
      <c r="I774" s="2867">
        <f>SUM(I775:I776)</f>
        <v>0</v>
      </c>
      <c r="J774" s="2868">
        <f>SUM(J775:J776)</f>
        <v>0</v>
      </c>
    </row>
    <row r="775" spans="1:17" s="2864" customFormat="1" ht="15" hidden="1" customHeight="1">
      <c r="A775" s="3934"/>
      <c r="B775" s="3935"/>
      <c r="C775" s="3939"/>
      <c r="D775" s="3939"/>
      <c r="E775" s="2869" t="s">
        <v>933</v>
      </c>
      <c r="F775" s="2870">
        <f>SUM(G775:J775)</f>
        <v>0</v>
      </c>
      <c r="G775" s="2870"/>
      <c r="H775" s="2870"/>
      <c r="I775" s="2870"/>
      <c r="J775" s="2871"/>
    </row>
    <row r="776" spans="1:17" s="2864" customFormat="1" ht="15" hidden="1" customHeight="1">
      <c r="A776" s="3934"/>
      <c r="B776" s="3935"/>
      <c r="C776" s="3939"/>
      <c r="D776" s="3939"/>
      <c r="E776" s="2874">
        <v>6069</v>
      </c>
      <c r="F776" s="2870">
        <f>SUM(G776:J776)</f>
        <v>0</v>
      </c>
      <c r="G776" s="2870"/>
      <c r="H776" s="2870"/>
      <c r="I776" s="2870"/>
      <c r="J776" s="2871"/>
    </row>
    <row r="777" spans="1:17" s="2864" customFormat="1" ht="22.5">
      <c r="A777" s="3910" t="s">
        <v>1364</v>
      </c>
      <c r="B777" s="3912" t="s">
        <v>1378</v>
      </c>
      <c r="C777" s="3927" t="s">
        <v>36</v>
      </c>
      <c r="D777" s="3927" t="s">
        <v>37</v>
      </c>
      <c r="E777" s="2861" t="s">
        <v>1304</v>
      </c>
      <c r="F777" s="2862">
        <f>SUM(F778,F800)</f>
        <v>3116709</v>
      </c>
      <c r="G777" s="2862">
        <f>SUM(G778,G800)</f>
        <v>3116709</v>
      </c>
      <c r="H777" s="2862">
        <f>SUM(H778,H800)</f>
        <v>0</v>
      </c>
      <c r="I777" s="2862">
        <f>SUM(I778,I800)</f>
        <v>0</v>
      </c>
      <c r="J777" s="2863">
        <f>SUM(J778,J800)</f>
        <v>0</v>
      </c>
      <c r="K777" s="2914"/>
    </row>
    <row r="778" spans="1:17" s="2864" customFormat="1" ht="21">
      <c r="A778" s="3911"/>
      <c r="B778" s="3913"/>
      <c r="C778" s="3928"/>
      <c r="D778" s="3928"/>
      <c r="E778" s="2866" t="s">
        <v>1310</v>
      </c>
      <c r="F778" s="2867">
        <f>SUM(F779,F782,F789)</f>
        <v>3116709</v>
      </c>
      <c r="G778" s="2867">
        <f>SUM(G779,G782,G789)</f>
        <v>3116709</v>
      </c>
      <c r="H778" s="2867">
        <f>SUM(H779,H782,H789)</f>
        <v>0</v>
      </c>
      <c r="I778" s="2867">
        <f>SUM(I779,I782,I789)</f>
        <v>0</v>
      </c>
      <c r="J778" s="2868">
        <f>SUM(J779,J782,J789)</f>
        <v>0</v>
      </c>
      <c r="K778" s="2865"/>
    </row>
    <row r="779" spans="1:17" s="2864" customFormat="1" ht="15" hidden="1" customHeight="1">
      <c r="A779" s="3911"/>
      <c r="B779" s="3913"/>
      <c r="C779" s="3928"/>
      <c r="D779" s="3928"/>
      <c r="E779" s="2880" t="s">
        <v>1324</v>
      </c>
      <c r="F779" s="2881">
        <f>SUM(F780:F781)</f>
        <v>0</v>
      </c>
      <c r="G779" s="2881">
        <f t="shared" ref="G779:J779" si="95">SUM(G780:G781)</f>
        <v>0</v>
      </c>
      <c r="H779" s="2881">
        <f t="shared" si="95"/>
        <v>0</v>
      </c>
      <c r="I779" s="2881">
        <f t="shared" si="95"/>
        <v>0</v>
      </c>
      <c r="J779" s="2882">
        <f t="shared" si="95"/>
        <v>0</v>
      </c>
      <c r="K779" s="2865"/>
    </row>
    <row r="780" spans="1:17" s="2864" customFormat="1" ht="15" hidden="1" customHeight="1">
      <c r="A780" s="3911"/>
      <c r="B780" s="3913"/>
      <c r="C780" s="3928"/>
      <c r="D780" s="3928"/>
      <c r="E780" s="2869" t="s">
        <v>957</v>
      </c>
      <c r="F780" s="2870">
        <f t="shared" ref="F780:F781" si="96">SUM(G780:J780)</f>
        <v>0</v>
      </c>
      <c r="G780" s="2870"/>
      <c r="H780" s="2870"/>
      <c r="I780" s="2870"/>
      <c r="J780" s="2871"/>
      <c r="K780" s="2865"/>
    </row>
    <row r="781" spans="1:17" s="2864" customFormat="1" ht="15" hidden="1" customHeight="1">
      <c r="A781" s="3911"/>
      <c r="B781" s="3913"/>
      <c r="C781" s="3928"/>
      <c r="D781" s="3928"/>
      <c r="E781" s="2869"/>
      <c r="F781" s="2870">
        <f t="shared" si="96"/>
        <v>0</v>
      </c>
      <c r="G781" s="2870"/>
      <c r="H781" s="2870"/>
      <c r="I781" s="2870"/>
      <c r="J781" s="2871"/>
    </row>
    <row r="782" spans="1:17" s="2864" customFormat="1" ht="15" hidden="1" customHeight="1">
      <c r="A782" s="3911"/>
      <c r="B782" s="3913"/>
      <c r="C782" s="3928"/>
      <c r="D782" s="3928"/>
      <c r="E782" s="2880" t="s">
        <v>1311</v>
      </c>
      <c r="F782" s="2881">
        <f>SUM(F783:F788)</f>
        <v>0</v>
      </c>
      <c r="G782" s="2881">
        <f>SUM(G783:G788)</f>
        <v>0</v>
      </c>
      <c r="H782" s="2881">
        <f>SUM(H783:H788)</f>
        <v>0</v>
      </c>
      <c r="I782" s="2881">
        <f>SUM(I783:I788)</f>
        <v>0</v>
      </c>
      <c r="J782" s="2882">
        <f>SUM(J783:J788)</f>
        <v>0</v>
      </c>
    </row>
    <row r="783" spans="1:17" s="2864" customFormat="1" ht="15" hidden="1" customHeight="1">
      <c r="A783" s="3911"/>
      <c r="B783" s="3913"/>
      <c r="C783" s="3928"/>
      <c r="D783" s="3928"/>
      <c r="E783" s="2869" t="s">
        <v>958</v>
      </c>
      <c r="F783" s="2870">
        <f t="shared" ref="F783:F788" si="97">SUM(G783:J783)</f>
        <v>0</v>
      </c>
      <c r="G783" s="2870"/>
      <c r="H783" s="2870"/>
      <c r="I783" s="2870"/>
      <c r="J783" s="2871"/>
      <c r="K783" s="2865"/>
    </row>
    <row r="784" spans="1:17" s="2864" customFormat="1" ht="15" hidden="1" customHeight="1">
      <c r="A784" s="3911"/>
      <c r="B784" s="3913"/>
      <c r="C784" s="3928"/>
      <c r="D784" s="3928"/>
      <c r="E784" s="2869" t="s">
        <v>959</v>
      </c>
      <c r="F784" s="2870">
        <f t="shared" si="97"/>
        <v>0</v>
      </c>
      <c r="G784" s="2870"/>
      <c r="H784" s="2870"/>
      <c r="I784" s="2870"/>
      <c r="J784" s="2871"/>
      <c r="K784" s="2865"/>
    </row>
    <row r="785" spans="1:11" s="2864" customFormat="1" ht="15" hidden="1" customHeight="1">
      <c r="A785" s="3911"/>
      <c r="B785" s="3913"/>
      <c r="C785" s="3928"/>
      <c r="D785" s="3928"/>
      <c r="E785" s="2869" t="s">
        <v>960</v>
      </c>
      <c r="F785" s="2870">
        <f t="shared" si="97"/>
        <v>0</v>
      </c>
      <c r="G785" s="2870"/>
      <c r="H785" s="2870"/>
      <c r="I785" s="2870"/>
      <c r="J785" s="2871"/>
      <c r="K785" s="2914"/>
    </row>
    <row r="786" spans="1:11" s="2864" customFormat="1" ht="15" hidden="1" customHeight="1">
      <c r="A786" s="3911"/>
      <c r="B786" s="3913"/>
      <c r="C786" s="3928"/>
      <c r="D786" s="3928"/>
      <c r="E786" s="2869" t="s">
        <v>961</v>
      </c>
      <c r="F786" s="2870">
        <f t="shared" si="97"/>
        <v>0</v>
      </c>
      <c r="G786" s="2870"/>
      <c r="H786" s="2870"/>
      <c r="I786" s="2870"/>
      <c r="J786" s="2871"/>
    </row>
    <row r="787" spans="1:11" s="2864" customFormat="1" ht="15" hidden="1" customHeight="1">
      <c r="A787" s="3911"/>
      <c r="B787" s="3913"/>
      <c r="C787" s="3928"/>
      <c r="D787" s="3928"/>
      <c r="E787" s="2869" t="s">
        <v>962</v>
      </c>
      <c r="F787" s="2870">
        <f t="shared" si="97"/>
        <v>0</v>
      </c>
      <c r="G787" s="2870"/>
      <c r="H787" s="2870"/>
      <c r="I787" s="2870"/>
      <c r="J787" s="2871"/>
    </row>
    <row r="788" spans="1:11" s="2864" customFormat="1" ht="15" hidden="1" customHeight="1">
      <c r="A788" s="3911"/>
      <c r="B788" s="3913"/>
      <c r="C788" s="3928"/>
      <c r="D788" s="3928"/>
      <c r="E788" s="2869" t="s">
        <v>963</v>
      </c>
      <c r="F788" s="2870">
        <f t="shared" si="97"/>
        <v>0</v>
      </c>
      <c r="G788" s="2870"/>
      <c r="H788" s="2870"/>
      <c r="I788" s="2870"/>
      <c r="J788" s="2871"/>
    </row>
    <row r="789" spans="1:11" s="2864" customFormat="1" ht="22.5">
      <c r="A789" s="3911"/>
      <c r="B789" s="3913"/>
      <c r="C789" s="3928"/>
      <c r="D789" s="3928"/>
      <c r="E789" s="2880" t="s">
        <v>1312</v>
      </c>
      <c r="F789" s="2881">
        <f>SUM(F790:F799)</f>
        <v>3116709</v>
      </c>
      <c r="G789" s="2881">
        <f>SUM(G790:G799)</f>
        <v>3116709</v>
      </c>
      <c r="H789" s="2881">
        <f>SUM(H790:H799)</f>
        <v>0</v>
      </c>
      <c r="I789" s="2881">
        <f>SUM(I790:I799)</f>
        <v>0</v>
      </c>
      <c r="J789" s="2882">
        <f>SUM(J790:J799)</f>
        <v>0</v>
      </c>
      <c r="K789" s="2865"/>
    </row>
    <row r="790" spans="1:11" s="2864" customFormat="1" ht="15" hidden="1" customHeight="1">
      <c r="A790" s="3911"/>
      <c r="B790" s="3913"/>
      <c r="C790" s="3928"/>
      <c r="D790" s="3928"/>
      <c r="E790" s="2869" t="s">
        <v>964</v>
      </c>
      <c r="F790" s="2870">
        <f t="shared" ref="F790:F799" si="98">SUM(G790:J790)</f>
        <v>0</v>
      </c>
      <c r="G790" s="2870"/>
      <c r="H790" s="2870"/>
      <c r="I790" s="2870"/>
      <c r="J790" s="2871"/>
    </row>
    <row r="791" spans="1:11" s="2864" customFormat="1" ht="15" hidden="1" customHeight="1">
      <c r="A791" s="3911"/>
      <c r="B791" s="3913"/>
      <c r="C791" s="3928"/>
      <c r="D791" s="3928"/>
      <c r="E791" s="2869" t="s">
        <v>965</v>
      </c>
      <c r="F791" s="2870">
        <f t="shared" si="98"/>
        <v>0</v>
      </c>
      <c r="G791" s="2870"/>
      <c r="H791" s="2870"/>
      <c r="I791" s="2870"/>
      <c r="J791" s="2871"/>
    </row>
    <row r="792" spans="1:11" s="2864" customFormat="1" ht="15" customHeight="1">
      <c r="A792" s="3911"/>
      <c r="B792" s="3913"/>
      <c r="C792" s="3928"/>
      <c r="D792" s="3928"/>
      <c r="E792" s="2869" t="s">
        <v>966</v>
      </c>
      <c r="F792" s="2870">
        <f t="shared" si="98"/>
        <v>3030369</v>
      </c>
      <c r="G792" s="2870">
        <v>3030369</v>
      </c>
      <c r="H792" s="2870"/>
      <c r="I792" s="2870"/>
      <c r="J792" s="2871"/>
    </row>
    <row r="793" spans="1:11" s="2864" customFormat="1" ht="15" customHeight="1">
      <c r="A793" s="3911"/>
      <c r="B793" s="3913"/>
      <c r="C793" s="3928"/>
      <c r="D793" s="3928"/>
      <c r="E793" s="2869" t="s">
        <v>967</v>
      </c>
      <c r="F793" s="2870">
        <f t="shared" si="98"/>
        <v>86340</v>
      </c>
      <c r="G793" s="2870">
        <v>86340</v>
      </c>
      <c r="H793" s="2870"/>
      <c r="I793" s="2870"/>
      <c r="J793" s="2871"/>
    </row>
    <row r="794" spans="1:11" s="2864" customFormat="1" ht="15" hidden="1" customHeight="1">
      <c r="A794" s="3911"/>
      <c r="B794" s="3913"/>
      <c r="C794" s="3928"/>
      <c r="D794" s="3928"/>
      <c r="E794" s="2869" t="s">
        <v>968</v>
      </c>
      <c r="F794" s="2870">
        <f t="shared" si="98"/>
        <v>0</v>
      </c>
      <c r="G794" s="2870"/>
      <c r="H794" s="2870"/>
      <c r="I794" s="2870"/>
      <c r="J794" s="2871"/>
    </row>
    <row r="795" spans="1:11" s="2864" customFormat="1" ht="15" hidden="1" customHeight="1">
      <c r="A795" s="3911"/>
      <c r="B795" s="3913"/>
      <c r="C795" s="3928"/>
      <c r="D795" s="3928"/>
      <c r="E795" s="2869" t="s">
        <v>969</v>
      </c>
      <c r="F795" s="2870">
        <f t="shared" si="98"/>
        <v>0</v>
      </c>
      <c r="G795" s="2870"/>
      <c r="H795" s="2870"/>
      <c r="I795" s="2870"/>
      <c r="J795" s="2871"/>
    </row>
    <row r="796" spans="1:11" s="2864" customFormat="1" ht="15" hidden="1" customHeight="1">
      <c r="A796" s="3911"/>
      <c r="B796" s="3913"/>
      <c r="C796" s="3928"/>
      <c r="D796" s="3928"/>
      <c r="E796" s="2869" t="s">
        <v>970</v>
      </c>
      <c r="F796" s="2870">
        <f t="shared" si="98"/>
        <v>0</v>
      </c>
      <c r="G796" s="2870"/>
      <c r="H796" s="2870"/>
      <c r="I796" s="2870"/>
      <c r="J796" s="2871"/>
    </row>
    <row r="797" spans="1:11" s="2864" customFormat="1" ht="15" hidden="1" customHeight="1">
      <c r="A797" s="3911"/>
      <c r="B797" s="3913"/>
      <c r="C797" s="3928"/>
      <c r="D797" s="3928"/>
      <c r="E797" s="2869" t="s">
        <v>971</v>
      </c>
      <c r="F797" s="2870">
        <f t="shared" si="98"/>
        <v>0</v>
      </c>
      <c r="G797" s="2870"/>
      <c r="H797" s="2870"/>
      <c r="I797" s="2870"/>
      <c r="J797" s="2871"/>
    </row>
    <row r="798" spans="1:11" s="2864" customFormat="1" ht="15" hidden="1" customHeight="1">
      <c r="A798" s="3911"/>
      <c r="B798" s="3913"/>
      <c r="C798" s="3928"/>
      <c r="D798" s="3928"/>
      <c r="E798" s="2869" t="s">
        <v>972</v>
      </c>
      <c r="F798" s="2870">
        <f t="shared" si="98"/>
        <v>0</v>
      </c>
      <c r="G798" s="2870"/>
      <c r="H798" s="2870"/>
      <c r="I798" s="2870"/>
      <c r="J798" s="2871"/>
    </row>
    <row r="799" spans="1:11" s="2864" customFormat="1" ht="15" hidden="1" customHeight="1">
      <c r="A799" s="3911"/>
      <c r="B799" s="3913"/>
      <c r="C799" s="3928"/>
      <c r="D799" s="3928"/>
      <c r="E799" s="2869" t="s">
        <v>973</v>
      </c>
      <c r="F799" s="2870">
        <f t="shared" si="98"/>
        <v>0</v>
      </c>
      <c r="G799" s="2870"/>
      <c r="H799" s="2870"/>
      <c r="I799" s="2870"/>
      <c r="J799" s="2871"/>
    </row>
    <row r="800" spans="1:11" s="2864" customFormat="1" ht="15" customHeight="1">
      <c r="A800" s="3920"/>
      <c r="B800" s="3937"/>
      <c r="C800" s="3929"/>
      <c r="D800" s="3929"/>
      <c r="E800" s="2872" t="s">
        <v>1305</v>
      </c>
      <c r="F800" s="2867">
        <f>SUM(F801:F802)</f>
        <v>0</v>
      </c>
      <c r="G800" s="2867">
        <f>SUM(G801:G802)</f>
        <v>0</v>
      </c>
      <c r="H800" s="2867">
        <f>SUM(H801:H802)</f>
        <v>0</v>
      </c>
      <c r="I800" s="2867">
        <f>SUM(I801:I802)</f>
        <v>0</v>
      </c>
      <c r="J800" s="2868">
        <f>SUM(J801:J802)</f>
        <v>0</v>
      </c>
    </row>
    <row r="801" spans="1:17" s="2864" customFormat="1" ht="15" hidden="1" customHeight="1">
      <c r="A801" s="2891"/>
      <c r="B801" s="2910"/>
      <c r="C801" s="2894"/>
      <c r="D801" s="2894"/>
      <c r="E801" s="2895" t="s">
        <v>933</v>
      </c>
      <c r="F801" s="2896">
        <f>SUM(G801:J801)</f>
        <v>0</v>
      </c>
      <c r="G801" s="2896"/>
      <c r="H801" s="2896"/>
      <c r="I801" s="2896"/>
      <c r="J801" s="2897"/>
    </row>
    <row r="802" spans="1:17" s="2864" customFormat="1" ht="15" hidden="1" customHeight="1">
      <c r="A802" s="2891"/>
      <c r="B802" s="2910"/>
      <c r="C802" s="2894"/>
      <c r="D802" s="2894"/>
      <c r="E802" s="2916">
        <v>6069</v>
      </c>
      <c r="F802" s="2896">
        <f>SUM(G802:J802)</f>
        <v>0</v>
      </c>
      <c r="G802" s="2896"/>
      <c r="H802" s="2896"/>
      <c r="I802" s="2896"/>
      <c r="J802" s="2897"/>
    </row>
    <row r="803" spans="1:17" s="2879" customFormat="1" ht="24.95" customHeight="1">
      <c r="A803" s="2858" t="s">
        <v>1379</v>
      </c>
      <c r="B803" s="3930" t="s">
        <v>1380</v>
      </c>
      <c r="C803" s="3930"/>
      <c r="D803" s="3930"/>
      <c r="E803" s="3930"/>
      <c r="F803" s="2926">
        <f>F805+F820+F835+F850+F865+F910+F925+F985+F1000</f>
        <v>260306142</v>
      </c>
      <c r="G803" s="2926">
        <f t="shared" ref="G803:J803" si="99">G805+G820+G835+G850+G865+G910+G925+G985+G1000</f>
        <v>72189853</v>
      </c>
      <c r="H803" s="2926">
        <f t="shared" si="99"/>
        <v>182011369</v>
      </c>
      <c r="I803" s="2926">
        <f t="shared" si="99"/>
        <v>557790</v>
      </c>
      <c r="J803" s="2927">
        <f t="shared" si="99"/>
        <v>5547130</v>
      </c>
      <c r="K803" s="2877"/>
      <c r="L803" s="2877"/>
      <c r="M803" s="2877"/>
      <c r="N803" s="2877"/>
      <c r="O803" s="2877"/>
    </row>
    <row r="804" spans="1:17" s="2864" customFormat="1" ht="15" customHeight="1">
      <c r="A804" s="3931"/>
      <c r="B804" s="3932"/>
      <c r="C804" s="3932"/>
      <c r="D804" s="3932"/>
      <c r="E804" s="3932"/>
      <c r="F804" s="3932"/>
      <c r="G804" s="3932"/>
      <c r="H804" s="3932"/>
      <c r="I804" s="3932"/>
      <c r="J804" s="3933"/>
    </row>
    <row r="805" spans="1:17" s="2879" customFormat="1" ht="22.5" customHeight="1">
      <c r="A805" s="3910" t="s">
        <v>1302</v>
      </c>
      <c r="B805" s="3912" t="s">
        <v>1381</v>
      </c>
      <c r="C805" s="3924">
        <v>600</v>
      </c>
      <c r="D805" s="3927" t="s">
        <v>926</v>
      </c>
      <c r="E805" s="2861" t="s">
        <v>1304</v>
      </c>
      <c r="F805" s="2862">
        <f>SUM(F806,F813)</f>
        <v>28391560</v>
      </c>
      <c r="G805" s="2862">
        <f>SUM(G806,G813)</f>
        <v>9422908</v>
      </c>
      <c r="H805" s="2862">
        <f>SUM(H806,H813)</f>
        <v>15671522</v>
      </c>
      <c r="I805" s="2862">
        <f>SUM(I806,I813)</f>
        <v>0</v>
      </c>
      <c r="J805" s="2863">
        <f>SUM(J806,J813)</f>
        <v>3297130</v>
      </c>
      <c r="K805" s="2865"/>
      <c r="L805" s="2864"/>
      <c r="M805" s="2864"/>
      <c r="N805" s="2864"/>
      <c r="O805" s="2864"/>
      <c r="P805" s="2864"/>
      <c r="Q805" s="2864"/>
    </row>
    <row r="806" spans="1:17" s="2879" customFormat="1" ht="15" customHeight="1">
      <c r="A806" s="3911"/>
      <c r="B806" s="3913"/>
      <c r="C806" s="3925"/>
      <c r="D806" s="3928"/>
      <c r="E806" s="2866" t="s">
        <v>1017</v>
      </c>
      <c r="F806" s="2867">
        <f>SUM(F807,F810)</f>
        <v>0</v>
      </c>
      <c r="G806" s="2867">
        <f>SUM(G807,G810)</f>
        <v>0</v>
      </c>
      <c r="H806" s="2867">
        <f>SUM(H807,H810)</f>
        <v>0</v>
      </c>
      <c r="I806" s="2867">
        <f>SUM(I807,I810)</f>
        <v>0</v>
      </c>
      <c r="J806" s="2868">
        <f>SUM(J807,J810)</f>
        <v>0</v>
      </c>
      <c r="K806" s="2864"/>
      <c r="L806" s="2864"/>
      <c r="M806" s="2864"/>
      <c r="N806" s="2864"/>
      <c r="O806" s="2864"/>
      <c r="P806" s="2864"/>
      <c r="Q806" s="2864"/>
    </row>
    <row r="807" spans="1:17" s="2879" customFormat="1" ht="22.5" hidden="1" customHeight="1">
      <c r="A807" s="3911"/>
      <c r="B807" s="3913"/>
      <c r="C807" s="3925"/>
      <c r="D807" s="3928"/>
      <c r="E807" s="2880" t="s">
        <v>1311</v>
      </c>
      <c r="F807" s="2881">
        <f>SUM(F808:F809)</f>
        <v>0</v>
      </c>
      <c r="G807" s="2881">
        <f>SUM(G808:G809)</f>
        <v>0</v>
      </c>
      <c r="H807" s="2881">
        <f>SUM(H808:H809)</f>
        <v>0</v>
      </c>
      <c r="I807" s="2881">
        <f>SUM(I808:I809)</f>
        <v>0</v>
      </c>
      <c r="J807" s="2882">
        <f>SUM(J808:J809)</f>
        <v>0</v>
      </c>
      <c r="K807" s="2864"/>
      <c r="L807" s="2864"/>
      <c r="M807" s="2864"/>
      <c r="N807" s="2864"/>
      <c r="O807" s="2864"/>
      <c r="P807" s="2864"/>
      <c r="Q807" s="2864"/>
    </row>
    <row r="808" spans="1:17" s="2879" customFormat="1" ht="15" hidden="1" customHeight="1">
      <c r="A808" s="3911"/>
      <c r="B808" s="3913"/>
      <c r="C808" s="3925"/>
      <c r="D808" s="3928"/>
      <c r="E808" s="2869"/>
      <c r="F808" s="2870">
        <f>SUM(G808:J808)</f>
        <v>0</v>
      </c>
      <c r="G808" s="2870"/>
      <c r="H808" s="2870"/>
      <c r="I808" s="2870"/>
      <c r="J808" s="2871"/>
      <c r="K808" s="2864"/>
      <c r="L808" s="2864"/>
      <c r="M808" s="2864"/>
      <c r="N808" s="2864"/>
      <c r="O808" s="2864"/>
      <c r="P808" s="2864"/>
      <c r="Q808" s="2864"/>
    </row>
    <row r="809" spans="1:17" s="2879" customFormat="1" ht="15" hidden="1" customHeight="1">
      <c r="A809" s="3911"/>
      <c r="B809" s="3913"/>
      <c r="C809" s="3925"/>
      <c r="D809" s="3928"/>
      <c r="E809" s="2869"/>
      <c r="F809" s="2870">
        <f>SUM(G809:J809)</f>
        <v>0</v>
      </c>
      <c r="G809" s="2870"/>
      <c r="H809" s="2870"/>
      <c r="I809" s="2870"/>
      <c r="J809" s="2871"/>
      <c r="K809" s="2864"/>
      <c r="L809" s="2864"/>
      <c r="M809" s="2864"/>
      <c r="N809" s="2864"/>
      <c r="O809" s="2864"/>
      <c r="P809" s="2864"/>
      <c r="Q809" s="2864"/>
    </row>
    <row r="810" spans="1:17" s="2879" customFormat="1" ht="22.5" hidden="1" customHeight="1">
      <c r="A810" s="3911"/>
      <c r="B810" s="3913"/>
      <c r="C810" s="3925"/>
      <c r="D810" s="3928"/>
      <c r="E810" s="2880" t="s">
        <v>1312</v>
      </c>
      <c r="F810" s="2881">
        <f>SUM(F811:F812)</f>
        <v>0</v>
      </c>
      <c r="G810" s="2881">
        <f>SUM(G811:G812)</f>
        <v>0</v>
      </c>
      <c r="H810" s="2881">
        <f>SUM(H811:H812)</f>
        <v>0</v>
      </c>
      <c r="I810" s="2881">
        <f>SUM(I811:I812)</f>
        <v>0</v>
      </c>
      <c r="J810" s="2882">
        <f>SUM(J811:J812)</f>
        <v>0</v>
      </c>
      <c r="K810" s="2864"/>
      <c r="L810" s="2864"/>
      <c r="M810" s="2864"/>
      <c r="N810" s="2864"/>
      <c r="O810" s="2864"/>
      <c r="P810" s="2864"/>
      <c r="Q810" s="2864"/>
    </row>
    <row r="811" spans="1:17" s="2879" customFormat="1" ht="15" hidden="1" customHeight="1">
      <c r="A811" s="3911"/>
      <c r="B811" s="3913"/>
      <c r="C811" s="3925"/>
      <c r="D811" s="3928"/>
      <c r="E811" s="2869"/>
      <c r="F811" s="2870">
        <f>SUM(G811:J811)</f>
        <v>0</v>
      </c>
      <c r="G811" s="2870"/>
      <c r="H811" s="2870"/>
      <c r="I811" s="2870"/>
      <c r="J811" s="2871"/>
      <c r="K811" s="2864"/>
      <c r="L811" s="2864"/>
      <c r="M811" s="2864"/>
      <c r="N811" s="2864"/>
      <c r="O811" s="2864"/>
      <c r="P811" s="2864"/>
      <c r="Q811" s="2864"/>
    </row>
    <row r="812" spans="1:17" s="2879" customFormat="1" ht="15" hidden="1" customHeight="1">
      <c r="A812" s="3911"/>
      <c r="B812" s="3913"/>
      <c r="C812" s="3925"/>
      <c r="D812" s="3928"/>
      <c r="E812" s="2869"/>
      <c r="F812" s="2870">
        <f>SUM(G812:J812)</f>
        <v>0</v>
      </c>
      <c r="G812" s="2870"/>
      <c r="H812" s="2870"/>
      <c r="I812" s="2870"/>
      <c r="J812" s="2871"/>
      <c r="K812" s="2864"/>
      <c r="L812" s="2864"/>
      <c r="M812" s="2864"/>
      <c r="N812" s="2864"/>
      <c r="O812" s="2864"/>
      <c r="P812" s="2864"/>
      <c r="Q812" s="2864"/>
    </row>
    <row r="813" spans="1:17" s="2879" customFormat="1" ht="15" customHeight="1">
      <c r="A813" s="3911"/>
      <c r="B813" s="3913"/>
      <c r="C813" s="3925"/>
      <c r="D813" s="3928"/>
      <c r="E813" s="2872" t="s">
        <v>1305</v>
      </c>
      <c r="F813" s="2867">
        <f>SUM(F814:F819)</f>
        <v>28391560</v>
      </c>
      <c r="G813" s="2867">
        <f>SUM(G814:G819)</f>
        <v>9422908</v>
      </c>
      <c r="H813" s="2867">
        <f>SUM(H814:H819)</f>
        <v>15671522</v>
      </c>
      <c r="I813" s="2867">
        <f>SUM(I814:I819)</f>
        <v>0</v>
      </c>
      <c r="J813" s="2868">
        <f>SUM(J814:J819)</f>
        <v>3297130</v>
      </c>
      <c r="K813" s="2864"/>
      <c r="L813" s="2864"/>
      <c r="M813" s="2864"/>
      <c r="N813" s="2864"/>
      <c r="O813" s="2864"/>
      <c r="P813" s="2864"/>
      <c r="Q813" s="2864"/>
    </row>
    <row r="814" spans="1:17" s="2879" customFormat="1" ht="15" customHeight="1">
      <c r="A814" s="3911"/>
      <c r="B814" s="3913"/>
      <c r="C814" s="3925"/>
      <c r="D814" s="3928"/>
      <c r="E814" s="2869" t="s">
        <v>821</v>
      </c>
      <c r="F814" s="2870">
        <f>SUM(G814:J814)</f>
        <v>9954474</v>
      </c>
      <c r="G814" s="2870">
        <v>9378252</v>
      </c>
      <c r="H814" s="2870"/>
      <c r="I814" s="2870"/>
      <c r="J814" s="2871">
        <v>576222</v>
      </c>
      <c r="K814" s="2864"/>
      <c r="L814" s="2864"/>
      <c r="M814" s="2864"/>
      <c r="N814" s="2864"/>
      <c r="O814" s="2864"/>
      <c r="P814" s="2864"/>
      <c r="Q814" s="2864"/>
    </row>
    <row r="815" spans="1:17" s="2879" customFormat="1" ht="15" customHeight="1">
      <c r="A815" s="3911"/>
      <c r="B815" s="3913"/>
      <c r="C815" s="3925"/>
      <c r="D815" s="3928"/>
      <c r="E815" s="2869" t="s">
        <v>920</v>
      </c>
      <c r="F815" s="2870">
        <f>SUM(G815:J815)</f>
        <v>15671522</v>
      </c>
      <c r="G815" s="2870"/>
      <c r="H815" s="2870">
        <v>15671522</v>
      </c>
      <c r="I815" s="2870"/>
      <c r="J815" s="2871"/>
      <c r="K815" s="2864"/>
      <c r="L815" s="2864"/>
      <c r="M815" s="2864"/>
      <c r="N815" s="2864"/>
      <c r="O815" s="2864"/>
      <c r="P815" s="2864"/>
      <c r="Q815" s="2864"/>
    </row>
    <row r="816" spans="1:17" s="2879" customFormat="1" ht="15" customHeight="1">
      <c r="A816" s="3920"/>
      <c r="B816" s="3937"/>
      <c r="C816" s="3926"/>
      <c r="D816" s="3929"/>
      <c r="E816" s="2874">
        <v>6059</v>
      </c>
      <c r="F816" s="2870">
        <f t="shared" ref="F816:F819" si="100">SUM(G816:J816)</f>
        <v>2765564</v>
      </c>
      <c r="G816" s="2870">
        <v>44656</v>
      </c>
      <c r="H816" s="2870"/>
      <c r="I816" s="2870"/>
      <c r="J816" s="2871">
        <v>2720908</v>
      </c>
      <c r="K816" s="2864"/>
      <c r="L816" s="2864"/>
      <c r="M816" s="2864"/>
      <c r="N816" s="2864"/>
      <c r="O816" s="2864"/>
      <c r="P816" s="2864"/>
      <c r="Q816" s="2864"/>
    </row>
    <row r="817" spans="1:17" s="2879" customFormat="1" ht="15" hidden="1" customHeight="1">
      <c r="A817" s="2917"/>
      <c r="B817" s="2918"/>
      <c r="C817" s="2920"/>
      <c r="D817" s="2919"/>
      <c r="E817" s="2874">
        <v>6060</v>
      </c>
      <c r="F817" s="2870">
        <f t="shared" si="100"/>
        <v>0</v>
      </c>
      <c r="G817" s="2870"/>
      <c r="H817" s="2870"/>
      <c r="I817" s="2870"/>
      <c r="J817" s="2871"/>
      <c r="K817" s="2864"/>
      <c r="L817" s="2864"/>
      <c r="M817" s="2864"/>
      <c r="N817" s="2864"/>
      <c r="O817" s="2864"/>
      <c r="P817" s="2864"/>
      <c r="Q817" s="2864"/>
    </row>
    <row r="818" spans="1:17" s="2879" customFormat="1" ht="15" hidden="1" customHeight="1">
      <c r="A818" s="2917"/>
      <c r="B818" s="2918"/>
      <c r="C818" s="2920"/>
      <c r="D818" s="2919"/>
      <c r="E818" s="2869" t="s">
        <v>897</v>
      </c>
      <c r="F818" s="2870">
        <f t="shared" si="100"/>
        <v>0</v>
      </c>
      <c r="G818" s="2870"/>
      <c r="H818" s="2870"/>
      <c r="I818" s="2870"/>
      <c r="J818" s="2871"/>
      <c r="K818" s="2864"/>
      <c r="L818" s="2864"/>
      <c r="M818" s="2864"/>
      <c r="N818" s="2864"/>
      <c r="O818" s="2864"/>
      <c r="P818" s="2864"/>
      <c r="Q818" s="2864"/>
    </row>
    <row r="819" spans="1:17" s="2879" customFormat="1" ht="15" hidden="1" customHeight="1">
      <c r="A819" s="2917"/>
      <c r="B819" s="2918"/>
      <c r="C819" s="2920"/>
      <c r="D819" s="2919"/>
      <c r="E819" s="2874">
        <v>6069</v>
      </c>
      <c r="F819" s="2870">
        <f t="shared" si="100"/>
        <v>0</v>
      </c>
      <c r="G819" s="2870"/>
      <c r="H819" s="2870"/>
      <c r="I819" s="2870"/>
      <c r="J819" s="2871"/>
      <c r="K819" s="2864"/>
      <c r="L819" s="2864"/>
      <c r="M819" s="2864"/>
      <c r="N819" s="2864"/>
      <c r="O819" s="2864"/>
      <c r="P819" s="2864"/>
      <c r="Q819" s="2864"/>
    </row>
    <row r="820" spans="1:17" s="2864" customFormat="1" ht="22.5">
      <c r="A820" s="3934" t="s">
        <v>1306</v>
      </c>
      <c r="B820" s="3935" t="s">
        <v>1382</v>
      </c>
      <c r="C820" s="3936">
        <v>600</v>
      </c>
      <c r="D820" s="3939" t="s">
        <v>926</v>
      </c>
      <c r="E820" s="2861" t="s">
        <v>1304</v>
      </c>
      <c r="F820" s="2862">
        <f>SUM(F821,F828)</f>
        <v>14522639</v>
      </c>
      <c r="G820" s="2862">
        <f>SUM(G821,G828)</f>
        <v>2349561</v>
      </c>
      <c r="H820" s="2862">
        <f>SUM(H821,H828)</f>
        <v>12173078</v>
      </c>
      <c r="I820" s="2862">
        <f>SUM(I821,I828)</f>
        <v>0</v>
      </c>
      <c r="J820" s="2863">
        <f>SUM(J821,J828)</f>
        <v>0</v>
      </c>
    </row>
    <row r="821" spans="1:17" s="2864" customFormat="1" ht="15" customHeight="1">
      <c r="A821" s="3934"/>
      <c r="B821" s="3935"/>
      <c r="C821" s="3936"/>
      <c r="D821" s="3939"/>
      <c r="E821" s="2866" t="s">
        <v>1017</v>
      </c>
      <c r="F821" s="2867">
        <f>SUM(F822,F825)</f>
        <v>0</v>
      </c>
      <c r="G821" s="2867">
        <f>SUM(G822,G825)</f>
        <v>0</v>
      </c>
      <c r="H821" s="2867">
        <f>SUM(H822,H825)</f>
        <v>0</v>
      </c>
      <c r="I821" s="2867">
        <f>SUM(I822,I825)</f>
        <v>0</v>
      </c>
      <c r="J821" s="2868">
        <f>SUM(J822,J825)</f>
        <v>0</v>
      </c>
    </row>
    <row r="822" spans="1:17" s="2864" customFormat="1" ht="15" hidden="1" customHeight="1">
      <c r="A822" s="3934"/>
      <c r="B822" s="3935"/>
      <c r="C822" s="3936"/>
      <c r="D822" s="3939"/>
      <c r="E822" s="2880" t="s">
        <v>1311</v>
      </c>
      <c r="F822" s="2881">
        <f>SUM(F823:F824)</f>
        <v>0</v>
      </c>
      <c r="G822" s="2881">
        <f>SUM(G823:G824)</f>
        <v>0</v>
      </c>
      <c r="H822" s="2881">
        <f>SUM(H823:H824)</f>
        <v>0</v>
      </c>
      <c r="I822" s="2881">
        <f>SUM(I823:I824)</f>
        <v>0</v>
      </c>
      <c r="J822" s="2882">
        <f>SUM(J823:J824)</f>
        <v>0</v>
      </c>
    </row>
    <row r="823" spans="1:17" s="2864" customFormat="1" ht="15" hidden="1" customHeight="1">
      <c r="A823" s="3934"/>
      <c r="B823" s="3935"/>
      <c r="C823" s="3936"/>
      <c r="D823" s="3939"/>
      <c r="E823" s="2869"/>
      <c r="F823" s="2870">
        <f>SUM(G823:J823)</f>
        <v>0</v>
      </c>
      <c r="G823" s="2870"/>
      <c r="H823" s="2870"/>
      <c r="I823" s="2870"/>
      <c r="J823" s="2871"/>
    </row>
    <row r="824" spans="1:17" s="2864" customFormat="1" ht="15" hidden="1" customHeight="1">
      <c r="A824" s="3934"/>
      <c r="B824" s="3935"/>
      <c r="C824" s="3936"/>
      <c r="D824" s="3939"/>
      <c r="E824" s="2869"/>
      <c r="F824" s="2870">
        <f>SUM(G824:J824)</f>
        <v>0</v>
      </c>
      <c r="G824" s="2870"/>
      <c r="H824" s="2870"/>
      <c r="I824" s="2870"/>
      <c r="J824" s="2871"/>
    </row>
    <row r="825" spans="1:17" s="2864" customFormat="1" ht="15" hidden="1" customHeight="1">
      <c r="A825" s="3934"/>
      <c r="B825" s="3935"/>
      <c r="C825" s="3936"/>
      <c r="D825" s="3939"/>
      <c r="E825" s="2880" t="s">
        <v>1312</v>
      </c>
      <c r="F825" s="2881">
        <f>SUM(F826:F827)</f>
        <v>0</v>
      </c>
      <c r="G825" s="2881">
        <f>SUM(G826:G827)</f>
        <v>0</v>
      </c>
      <c r="H825" s="2881">
        <f>SUM(H826:H827)</f>
        <v>0</v>
      </c>
      <c r="I825" s="2881">
        <f>SUM(I826:I827)</f>
        <v>0</v>
      </c>
      <c r="J825" s="2882">
        <f>SUM(J826:J827)</f>
        <v>0</v>
      </c>
    </row>
    <row r="826" spans="1:17" s="2864" customFormat="1" ht="15" hidden="1" customHeight="1">
      <c r="A826" s="3934"/>
      <c r="B826" s="3935"/>
      <c r="C826" s="3936"/>
      <c r="D826" s="3939"/>
      <c r="E826" s="2869"/>
      <c r="F826" s="2870">
        <f>SUM(G826:J826)</f>
        <v>0</v>
      </c>
      <c r="G826" s="2870"/>
      <c r="H826" s="2870"/>
      <c r="I826" s="2870"/>
      <c r="J826" s="2871"/>
    </row>
    <row r="827" spans="1:17" s="2864" customFormat="1" ht="15" hidden="1" customHeight="1">
      <c r="A827" s="3934"/>
      <c r="B827" s="3935"/>
      <c r="C827" s="3936"/>
      <c r="D827" s="3939"/>
      <c r="E827" s="2869"/>
      <c r="F827" s="2870">
        <f>SUM(G827:J827)</f>
        <v>0</v>
      </c>
      <c r="G827" s="2870"/>
      <c r="H827" s="2870"/>
      <c r="I827" s="2870"/>
      <c r="J827" s="2871"/>
    </row>
    <row r="828" spans="1:17" s="2864" customFormat="1" ht="15" customHeight="1">
      <c r="A828" s="3934"/>
      <c r="B828" s="3935"/>
      <c r="C828" s="3936"/>
      <c r="D828" s="3939"/>
      <c r="E828" s="2872" t="s">
        <v>1305</v>
      </c>
      <c r="F828" s="2867">
        <f>SUM(F829:F834)</f>
        <v>14522639</v>
      </c>
      <c r="G828" s="2867">
        <f>SUM(G829:G834)</f>
        <v>2349561</v>
      </c>
      <c r="H828" s="2867">
        <f>SUM(H829:H834)</f>
        <v>12173078</v>
      </c>
      <c r="I828" s="2867">
        <f>SUM(I829:I834)</f>
        <v>0</v>
      </c>
      <c r="J828" s="2868">
        <f>SUM(J829:J834)</f>
        <v>0</v>
      </c>
    </row>
    <row r="829" spans="1:17" s="2864" customFormat="1" ht="15" customHeight="1">
      <c r="A829" s="3934"/>
      <c r="B829" s="3935"/>
      <c r="C829" s="3936"/>
      <c r="D829" s="3939"/>
      <c r="E829" s="2869" t="s">
        <v>821</v>
      </c>
      <c r="F829" s="2870">
        <f t="shared" ref="F829:F834" si="101">SUM(G829:J829)</f>
        <v>201370</v>
      </c>
      <c r="G829" s="2870">
        <v>201370</v>
      </c>
      <c r="H829" s="2870"/>
      <c r="I829" s="2870"/>
      <c r="J829" s="2871"/>
    </row>
    <row r="830" spans="1:17" s="2864" customFormat="1" ht="15" customHeight="1">
      <c r="A830" s="3934"/>
      <c r="B830" s="3935"/>
      <c r="C830" s="3936"/>
      <c r="D830" s="3939"/>
      <c r="E830" s="2869" t="s">
        <v>920</v>
      </c>
      <c r="F830" s="2870">
        <f t="shared" si="101"/>
        <v>12173078</v>
      </c>
      <c r="G830" s="2870"/>
      <c r="H830" s="2870">
        <v>12173078</v>
      </c>
      <c r="I830" s="2870"/>
      <c r="J830" s="2871"/>
    </row>
    <row r="831" spans="1:17" s="2864" customFormat="1" ht="15" customHeight="1">
      <c r="A831" s="3934"/>
      <c r="B831" s="3935"/>
      <c r="C831" s="3936"/>
      <c r="D831" s="3939"/>
      <c r="E831" s="2869" t="s">
        <v>921</v>
      </c>
      <c r="F831" s="2870">
        <f t="shared" si="101"/>
        <v>2148191</v>
      </c>
      <c r="G831" s="2870">
        <v>2148191</v>
      </c>
      <c r="H831" s="2870"/>
      <c r="I831" s="2870"/>
      <c r="J831" s="2871"/>
    </row>
    <row r="832" spans="1:17" s="2864" customFormat="1" ht="15" hidden="1" customHeight="1">
      <c r="A832" s="3934"/>
      <c r="B832" s="3935"/>
      <c r="C832" s="3936"/>
      <c r="D832" s="3939"/>
      <c r="E832" s="2869" t="s">
        <v>812</v>
      </c>
      <c r="F832" s="2870">
        <f t="shared" si="101"/>
        <v>0</v>
      </c>
      <c r="G832" s="2870"/>
      <c r="H832" s="2870"/>
      <c r="I832" s="2870"/>
      <c r="J832" s="2871"/>
    </row>
    <row r="833" spans="1:10" s="2864" customFormat="1" ht="15" hidden="1" customHeight="1">
      <c r="A833" s="3934"/>
      <c r="B833" s="3935"/>
      <c r="C833" s="3936"/>
      <c r="D833" s="3939"/>
      <c r="E833" s="2869" t="s">
        <v>897</v>
      </c>
      <c r="F833" s="2870">
        <f t="shared" si="101"/>
        <v>0</v>
      </c>
      <c r="G833" s="2870"/>
      <c r="H833" s="2870"/>
      <c r="I833" s="2870"/>
      <c r="J833" s="2871"/>
    </row>
    <row r="834" spans="1:10" s="2864" customFormat="1" ht="15" hidden="1" customHeight="1">
      <c r="A834" s="3934"/>
      <c r="B834" s="3935"/>
      <c r="C834" s="3936"/>
      <c r="D834" s="3939"/>
      <c r="E834" s="2874">
        <v>6069</v>
      </c>
      <c r="F834" s="2870">
        <f t="shared" si="101"/>
        <v>0</v>
      </c>
      <c r="G834" s="2870"/>
      <c r="H834" s="2870"/>
      <c r="I834" s="2870"/>
      <c r="J834" s="2871"/>
    </row>
    <row r="835" spans="1:10" s="2864" customFormat="1" ht="22.5">
      <c r="A835" s="3934" t="s">
        <v>1308</v>
      </c>
      <c r="B835" s="3935" t="s">
        <v>1383</v>
      </c>
      <c r="C835" s="3936">
        <v>600</v>
      </c>
      <c r="D835" s="3939" t="s">
        <v>926</v>
      </c>
      <c r="E835" s="2861" t="s">
        <v>1304</v>
      </c>
      <c r="F835" s="2862">
        <f>SUM(F836,F843)</f>
        <v>26283235</v>
      </c>
      <c r="G835" s="2862">
        <f>SUM(G836,G843)</f>
        <v>4117575</v>
      </c>
      <c r="H835" s="2862">
        <f>SUM(H836,H843)</f>
        <v>22165660</v>
      </c>
      <c r="I835" s="2862">
        <f>SUM(I836,I843)</f>
        <v>0</v>
      </c>
      <c r="J835" s="2863">
        <f>SUM(J836,J843)</f>
        <v>0</v>
      </c>
    </row>
    <row r="836" spans="1:10" s="2864" customFormat="1" ht="15" customHeight="1">
      <c r="A836" s="3934"/>
      <c r="B836" s="3935"/>
      <c r="C836" s="3936"/>
      <c r="D836" s="3939"/>
      <c r="E836" s="2866" t="s">
        <v>1017</v>
      </c>
      <c r="F836" s="2867">
        <f>SUM(F837,F840)</f>
        <v>0</v>
      </c>
      <c r="G836" s="2867">
        <f>SUM(G837,G840)</f>
        <v>0</v>
      </c>
      <c r="H836" s="2867">
        <f>SUM(H837,H840)</f>
        <v>0</v>
      </c>
      <c r="I836" s="2867">
        <f>SUM(I837,I840)</f>
        <v>0</v>
      </c>
      <c r="J836" s="2868">
        <f>SUM(J837,J840)</f>
        <v>0</v>
      </c>
    </row>
    <row r="837" spans="1:10" s="2864" customFormat="1" ht="15" hidden="1" customHeight="1">
      <c r="A837" s="3934"/>
      <c r="B837" s="3935"/>
      <c r="C837" s="3936"/>
      <c r="D837" s="3939"/>
      <c r="E837" s="2880" t="s">
        <v>1311</v>
      </c>
      <c r="F837" s="2881">
        <f>SUM(F838:F839)</f>
        <v>0</v>
      </c>
      <c r="G837" s="2881">
        <f>SUM(G838:G839)</f>
        <v>0</v>
      </c>
      <c r="H837" s="2881">
        <f>SUM(H838:H839)</f>
        <v>0</v>
      </c>
      <c r="I837" s="2881">
        <f>SUM(I838:I839)</f>
        <v>0</v>
      </c>
      <c r="J837" s="2882">
        <f>SUM(J838:J839)</f>
        <v>0</v>
      </c>
    </row>
    <row r="838" spans="1:10" s="2864" customFormat="1" ht="15" hidden="1" customHeight="1">
      <c r="A838" s="3934"/>
      <c r="B838" s="3935"/>
      <c r="C838" s="3936"/>
      <c r="D838" s="3939"/>
      <c r="E838" s="2869"/>
      <c r="F838" s="2870">
        <f>SUM(G838:J838)</f>
        <v>0</v>
      </c>
      <c r="G838" s="2870"/>
      <c r="H838" s="2870"/>
      <c r="I838" s="2870"/>
      <c r="J838" s="2871"/>
    </row>
    <row r="839" spans="1:10" s="2864" customFormat="1" ht="15" hidden="1" customHeight="1">
      <c r="A839" s="3934"/>
      <c r="B839" s="3935"/>
      <c r="C839" s="3936"/>
      <c r="D839" s="3939"/>
      <c r="E839" s="2869"/>
      <c r="F839" s="2870">
        <f>SUM(G839:J839)</f>
        <v>0</v>
      </c>
      <c r="G839" s="2870"/>
      <c r="H839" s="2870"/>
      <c r="I839" s="2870"/>
      <c r="J839" s="2871"/>
    </row>
    <row r="840" spans="1:10" s="2864" customFormat="1" ht="15" hidden="1" customHeight="1">
      <c r="A840" s="3934"/>
      <c r="B840" s="3935"/>
      <c r="C840" s="3936"/>
      <c r="D840" s="3939"/>
      <c r="E840" s="2880" t="s">
        <v>1312</v>
      </c>
      <c r="F840" s="2881">
        <f>SUM(F841:F842)</f>
        <v>0</v>
      </c>
      <c r="G840" s="2881">
        <f>SUM(G841:G842)</f>
        <v>0</v>
      </c>
      <c r="H840" s="2881">
        <f>SUM(H841:H842)</f>
        <v>0</v>
      </c>
      <c r="I840" s="2881">
        <f>SUM(I841:I842)</f>
        <v>0</v>
      </c>
      <c r="J840" s="2882">
        <f>SUM(J841:J842)</f>
        <v>0</v>
      </c>
    </row>
    <row r="841" spans="1:10" s="2864" customFormat="1" ht="15" hidden="1" customHeight="1">
      <c r="A841" s="3934"/>
      <c r="B841" s="3935"/>
      <c r="C841" s="3936"/>
      <c r="D841" s="3939"/>
      <c r="E841" s="2869"/>
      <c r="F841" s="2870">
        <f>SUM(G841:J841)</f>
        <v>0</v>
      </c>
      <c r="G841" s="2870"/>
      <c r="H841" s="2870"/>
      <c r="I841" s="2870"/>
      <c r="J841" s="2871"/>
    </row>
    <row r="842" spans="1:10" s="2864" customFormat="1" ht="15" hidden="1" customHeight="1">
      <c r="A842" s="3934"/>
      <c r="B842" s="3935"/>
      <c r="C842" s="3936"/>
      <c r="D842" s="3939"/>
      <c r="E842" s="2869"/>
      <c r="F842" s="2870">
        <f>SUM(G842:J842)</f>
        <v>0</v>
      </c>
      <c r="G842" s="2870"/>
      <c r="H842" s="2870"/>
      <c r="I842" s="2870"/>
      <c r="J842" s="2871"/>
    </row>
    <row r="843" spans="1:10" s="2864" customFormat="1" ht="15" customHeight="1">
      <c r="A843" s="3934"/>
      <c r="B843" s="3935"/>
      <c r="C843" s="3936"/>
      <c r="D843" s="3939"/>
      <c r="E843" s="2872" t="s">
        <v>1305</v>
      </c>
      <c r="F843" s="2867">
        <f>SUM(F844:F849)</f>
        <v>26283235</v>
      </c>
      <c r="G843" s="2867">
        <f>SUM(G844:G849)</f>
        <v>4117575</v>
      </c>
      <c r="H843" s="2867">
        <f>SUM(H844:H849)</f>
        <v>22165660</v>
      </c>
      <c r="I843" s="2867">
        <f>SUM(I844:I849)</f>
        <v>0</v>
      </c>
      <c r="J843" s="2868">
        <f>SUM(J844:J849)</f>
        <v>0</v>
      </c>
    </row>
    <row r="844" spans="1:10" s="2864" customFormat="1" ht="15" customHeight="1">
      <c r="A844" s="3934"/>
      <c r="B844" s="3935"/>
      <c r="C844" s="3936"/>
      <c r="D844" s="3939"/>
      <c r="E844" s="2869" t="s">
        <v>821</v>
      </c>
      <c r="F844" s="2870">
        <f t="shared" ref="F844:F849" si="102">SUM(G844:J844)</f>
        <v>205987</v>
      </c>
      <c r="G844" s="2870">
        <v>205987</v>
      </c>
      <c r="H844" s="2870"/>
      <c r="I844" s="2870"/>
      <c r="J844" s="2871"/>
    </row>
    <row r="845" spans="1:10" s="2864" customFormat="1" ht="15" customHeight="1">
      <c r="A845" s="3934"/>
      <c r="B845" s="3935"/>
      <c r="C845" s="3936"/>
      <c r="D845" s="3939"/>
      <c r="E845" s="2869" t="s">
        <v>920</v>
      </c>
      <c r="F845" s="2870">
        <f t="shared" si="102"/>
        <v>22165660</v>
      </c>
      <c r="G845" s="2870"/>
      <c r="H845" s="2870">
        <v>22165660</v>
      </c>
      <c r="I845" s="2870"/>
      <c r="J845" s="2871"/>
    </row>
    <row r="846" spans="1:10" s="2864" customFormat="1" ht="15" customHeight="1">
      <c r="A846" s="3934"/>
      <c r="B846" s="3935"/>
      <c r="C846" s="3936"/>
      <c r="D846" s="3939"/>
      <c r="E846" s="2869" t="s">
        <v>921</v>
      </c>
      <c r="F846" s="2870">
        <f t="shared" si="102"/>
        <v>3911588</v>
      </c>
      <c r="G846" s="2870">
        <v>3911588</v>
      </c>
      <c r="H846" s="2870"/>
      <c r="I846" s="2870"/>
      <c r="J846" s="2871"/>
    </row>
    <row r="847" spans="1:10" s="2864" customFormat="1" ht="15" hidden="1" customHeight="1">
      <c r="A847" s="3934"/>
      <c r="B847" s="3935"/>
      <c r="C847" s="3936"/>
      <c r="D847" s="3939"/>
      <c r="E847" s="2869" t="s">
        <v>812</v>
      </c>
      <c r="F847" s="2870">
        <f t="shared" si="102"/>
        <v>0</v>
      </c>
      <c r="G847" s="2870"/>
      <c r="H847" s="2870"/>
      <c r="I847" s="2870"/>
      <c r="J847" s="2871"/>
    </row>
    <row r="848" spans="1:10" s="2864" customFormat="1" ht="15" hidden="1" customHeight="1">
      <c r="A848" s="3934"/>
      <c r="B848" s="3935"/>
      <c r="C848" s="3936"/>
      <c r="D848" s="3939"/>
      <c r="E848" s="2869" t="s">
        <v>897</v>
      </c>
      <c r="F848" s="2870">
        <f t="shared" si="102"/>
        <v>0</v>
      </c>
      <c r="G848" s="2870"/>
      <c r="H848" s="2870"/>
      <c r="I848" s="2870"/>
      <c r="J848" s="2871"/>
    </row>
    <row r="849" spans="1:10" s="2864" customFormat="1" ht="15" hidden="1" customHeight="1">
      <c r="A849" s="3934"/>
      <c r="B849" s="3935"/>
      <c r="C849" s="3936"/>
      <c r="D849" s="3939"/>
      <c r="E849" s="2874">
        <v>6069</v>
      </c>
      <c r="F849" s="2870">
        <f t="shared" si="102"/>
        <v>0</v>
      </c>
      <c r="G849" s="2870"/>
      <c r="H849" s="2870"/>
      <c r="I849" s="2870"/>
      <c r="J849" s="2871"/>
    </row>
    <row r="850" spans="1:10" s="2864" customFormat="1" ht="22.5">
      <c r="A850" s="3934" t="s">
        <v>1313</v>
      </c>
      <c r="B850" s="3935" t="s">
        <v>1384</v>
      </c>
      <c r="C850" s="3936">
        <v>600</v>
      </c>
      <c r="D850" s="3939" t="s">
        <v>926</v>
      </c>
      <c r="E850" s="2861" t="s">
        <v>1304</v>
      </c>
      <c r="F850" s="2862">
        <f>SUM(F851,F858)</f>
        <v>43886250</v>
      </c>
      <c r="G850" s="2862">
        <f>SUM(G851,G858)</f>
        <v>31892138</v>
      </c>
      <c r="H850" s="2862">
        <f>SUM(H851,H858)</f>
        <v>11994112</v>
      </c>
      <c r="I850" s="2862">
        <f>SUM(I851,I858)</f>
        <v>0</v>
      </c>
      <c r="J850" s="2863">
        <f>SUM(J851,J858)</f>
        <v>0</v>
      </c>
    </row>
    <row r="851" spans="1:10" s="2864" customFormat="1" ht="15" customHeight="1">
      <c r="A851" s="3934"/>
      <c r="B851" s="3935"/>
      <c r="C851" s="3936"/>
      <c r="D851" s="3939"/>
      <c r="E851" s="2866" t="s">
        <v>1017</v>
      </c>
      <c r="F851" s="2867">
        <f>SUM(F852,F855)</f>
        <v>0</v>
      </c>
      <c r="G851" s="2867">
        <f>SUM(G852,G855)</f>
        <v>0</v>
      </c>
      <c r="H851" s="2867">
        <f>SUM(H852,H855)</f>
        <v>0</v>
      </c>
      <c r="I851" s="2867">
        <f>SUM(I852,I855)</f>
        <v>0</v>
      </c>
      <c r="J851" s="2868">
        <f>SUM(J852,J855)</f>
        <v>0</v>
      </c>
    </row>
    <row r="852" spans="1:10" s="2864" customFormat="1" ht="22.5" hidden="1">
      <c r="A852" s="3934"/>
      <c r="B852" s="3935"/>
      <c r="C852" s="3936"/>
      <c r="D852" s="3939"/>
      <c r="E852" s="2880" t="s">
        <v>1311</v>
      </c>
      <c r="F852" s="2881">
        <f>SUM(F853:F854)</f>
        <v>0</v>
      </c>
      <c r="G852" s="2881">
        <f>SUM(G853:G854)</f>
        <v>0</v>
      </c>
      <c r="H852" s="2881">
        <f>SUM(H853:H854)</f>
        <v>0</v>
      </c>
      <c r="I852" s="2881">
        <f>SUM(I853:I854)</f>
        <v>0</v>
      </c>
      <c r="J852" s="2882">
        <f>SUM(J853:J854)</f>
        <v>0</v>
      </c>
    </row>
    <row r="853" spans="1:10" s="2864" customFormat="1" ht="15" hidden="1" customHeight="1">
      <c r="A853" s="3934"/>
      <c r="B853" s="3935"/>
      <c r="C853" s="3936"/>
      <c r="D853" s="3939"/>
      <c r="E853" s="2869"/>
      <c r="F853" s="2870">
        <f>SUM(G853:J853)</f>
        <v>0</v>
      </c>
      <c r="G853" s="2870"/>
      <c r="H853" s="2870"/>
      <c r="I853" s="2870"/>
      <c r="J853" s="2871"/>
    </row>
    <row r="854" spans="1:10" s="2864" customFormat="1" ht="15" hidden="1" customHeight="1">
      <c r="A854" s="3934"/>
      <c r="B854" s="3935"/>
      <c r="C854" s="3936"/>
      <c r="D854" s="3939"/>
      <c r="E854" s="2869"/>
      <c r="F854" s="2870">
        <f>SUM(G854:J854)</f>
        <v>0</v>
      </c>
      <c r="G854" s="2870"/>
      <c r="H854" s="2870"/>
      <c r="I854" s="2870"/>
      <c r="J854" s="2871"/>
    </row>
    <row r="855" spans="1:10" s="2864" customFormat="1" ht="15" hidden="1" customHeight="1">
      <c r="A855" s="3934"/>
      <c r="B855" s="3935"/>
      <c r="C855" s="3936"/>
      <c r="D855" s="3939"/>
      <c r="E855" s="2880" t="s">
        <v>1312</v>
      </c>
      <c r="F855" s="2881">
        <f>SUM(F856:F857)</f>
        <v>0</v>
      </c>
      <c r="G855" s="2881">
        <f>SUM(G856:G857)</f>
        <v>0</v>
      </c>
      <c r="H855" s="2881">
        <f>SUM(H856:H857)</f>
        <v>0</v>
      </c>
      <c r="I855" s="2881">
        <f>SUM(I856:I857)</f>
        <v>0</v>
      </c>
      <c r="J855" s="2882">
        <f>SUM(J856:J857)</f>
        <v>0</v>
      </c>
    </row>
    <row r="856" spans="1:10" s="2864" customFormat="1" ht="15" hidden="1" customHeight="1">
      <c r="A856" s="3934"/>
      <c r="B856" s="3935"/>
      <c r="C856" s="3936"/>
      <c r="D856" s="3939"/>
      <c r="E856" s="2869"/>
      <c r="F856" s="2870">
        <f>SUM(G856:J856)</f>
        <v>0</v>
      </c>
      <c r="G856" s="2870"/>
      <c r="H856" s="2870"/>
      <c r="I856" s="2870"/>
      <c r="J856" s="2871"/>
    </row>
    <row r="857" spans="1:10" s="2864" customFormat="1" ht="15" hidden="1" customHeight="1">
      <c r="A857" s="3934"/>
      <c r="B857" s="3935"/>
      <c r="C857" s="3936"/>
      <c r="D857" s="3939"/>
      <c r="E857" s="2869"/>
      <c r="F857" s="2870">
        <f>SUM(G857:J857)</f>
        <v>0</v>
      </c>
      <c r="G857" s="2870"/>
      <c r="H857" s="2870"/>
      <c r="I857" s="2870"/>
      <c r="J857" s="2871"/>
    </row>
    <row r="858" spans="1:10" s="2864" customFormat="1" ht="15" customHeight="1">
      <c r="A858" s="3934"/>
      <c r="B858" s="3935"/>
      <c r="C858" s="3936"/>
      <c r="D858" s="3939"/>
      <c r="E858" s="2872" t="s">
        <v>1305</v>
      </c>
      <c r="F858" s="2867">
        <f>SUM(F859:F864)</f>
        <v>43886250</v>
      </c>
      <c r="G858" s="2867">
        <f>SUM(G859:G864)</f>
        <v>31892138</v>
      </c>
      <c r="H858" s="2867">
        <f>SUM(H859:H864)</f>
        <v>11994112</v>
      </c>
      <c r="I858" s="2867">
        <f>SUM(I859:I864)</f>
        <v>0</v>
      </c>
      <c r="J858" s="2868">
        <f>SUM(J859:J864)</f>
        <v>0</v>
      </c>
    </row>
    <row r="859" spans="1:10" s="2864" customFormat="1" ht="15" hidden="1" customHeight="1">
      <c r="A859" s="3934"/>
      <c r="B859" s="3935"/>
      <c r="C859" s="3936"/>
      <c r="D859" s="3939"/>
      <c r="E859" s="2869" t="s">
        <v>821</v>
      </c>
      <c r="F859" s="2870">
        <f t="shared" ref="F859:F864" si="103">SUM(G859:J859)</f>
        <v>0</v>
      </c>
      <c r="G859" s="2870"/>
      <c r="H859" s="2870"/>
      <c r="I859" s="2870"/>
      <c r="J859" s="2871"/>
    </row>
    <row r="860" spans="1:10" s="2864" customFormat="1" ht="15" customHeight="1">
      <c r="A860" s="3934"/>
      <c r="B860" s="3935"/>
      <c r="C860" s="3936"/>
      <c r="D860" s="3939"/>
      <c r="E860" s="2869" t="s">
        <v>920</v>
      </c>
      <c r="F860" s="2870">
        <f t="shared" si="103"/>
        <v>11994112</v>
      </c>
      <c r="G860" s="2870"/>
      <c r="H860" s="2870">
        <v>11994112</v>
      </c>
      <c r="I860" s="2870"/>
      <c r="J860" s="2871"/>
    </row>
    <row r="861" spans="1:10" s="2864" customFormat="1" ht="15" customHeight="1">
      <c r="A861" s="3934"/>
      <c r="B861" s="3935"/>
      <c r="C861" s="3936"/>
      <c r="D861" s="3939"/>
      <c r="E861" s="2869" t="s">
        <v>921</v>
      </c>
      <c r="F861" s="2870">
        <f t="shared" si="103"/>
        <v>31892138</v>
      </c>
      <c r="G861" s="2870">
        <v>31892138</v>
      </c>
      <c r="H861" s="2870"/>
      <c r="I861" s="2870"/>
      <c r="J861" s="2871"/>
    </row>
    <row r="862" spans="1:10" s="2864" customFormat="1" ht="15" hidden="1" customHeight="1">
      <c r="A862" s="3934"/>
      <c r="B862" s="3935"/>
      <c r="C862" s="3936"/>
      <c r="D862" s="3939"/>
      <c r="E862" s="2869" t="s">
        <v>812</v>
      </c>
      <c r="F862" s="2870">
        <f t="shared" si="103"/>
        <v>0</v>
      </c>
      <c r="G862" s="2870"/>
      <c r="H862" s="2870"/>
      <c r="I862" s="2870"/>
      <c r="J862" s="2871"/>
    </row>
    <row r="863" spans="1:10" s="2864" customFormat="1" ht="15" hidden="1" customHeight="1">
      <c r="A863" s="3934"/>
      <c r="B863" s="3935"/>
      <c r="C863" s="3936"/>
      <c r="D863" s="3939"/>
      <c r="E863" s="2869" t="s">
        <v>897</v>
      </c>
      <c r="F863" s="2870">
        <f t="shared" si="103"/>
        <v>0</v>
      </c>
      <c r="G863" s="2870"/>
      <c r="H863" s="2870"/>
      <c r="I863" s="2870"/>
      <c r="J863" s="2871"/>
    </row>
    <row r="864" spans="1:10" s="2864" customFormat="1" ht="15" hidden="1" customHeight="1">
      <c r="A864" s="3934"/>
      <c r="B864" s="3935"/>
      <c r="C864" s="3936"/>
      <c r="D864" s="3939"/>
      <c r="E864" s="2874">
        <v>6069</v>
      </c>
      <c r="F864" s="2870">
        <f t="shared" si="103"/>
        <v>0</v>
      </c>
      <c r="G864" s="2870"/>
      <c r="H864" s="2870"/>
      <c r="I864" s="2870"/>
      <c r="J864" s="2871"/>
    </row>
    <row r="865" spans="1:10" s="2864" customFormat="1" ht="22.5">
      <c r="A865" s="3910" t="s">
        <v>1315</v>
      </c>
      <c r="B865" s="3912" t="s">
        <v>1385</v>
      </c>
      <c r="C865" s="3924">
        <v>600</v>
      </c>
      <c r="D865" s="3927" t="s">
        <v>926</v>
      </c>
      <c r="E865" s="2861" t="s">
        <v>1304</v>
      </c>
      <c r="F865" s="2862">
        <f>SUM(F866,F873)</f>
        <v>22654961</v>
      </c>
      <c r="G865" s="2862">
        <f>SUM(G866,G873)</f>
        <v>3320348</v>
      </c>
      <c r="H865" s="2862">
        <f>SUM(H866,H873)</f>
        <v>18134613</v>
      </c>
      <c r="I865" s="2862">
        <f>SUM(I866,I873)</f>
        <v>0</v>
      </c>
      <c r="J865" s="2863">
        <f>SUM(J866,J873)</f>
        <v>1200000</v>
      </c>
    </row>
    <row r="866" spans="1:10" s="2864" customFormat="1" ht="15" customHeight="1">
      <c r="A866" s="3911"/>
      <c r="B866" s="3913"/>
      <c r="C866" s="3925"/>
      <c r="D866" s="3928"/>
      <c r="E866" s="2866" t="s">
        <v>1017</v>
      </c>
      <c r="F866" s="2867">
        <f>SUM(F867,F870)</f>
        <v>0</v>
      </c>
      <c r="G866" s="2867">
        <f>SUM(G867,G870)</f>
        <v>0</v>
      </c>
      <c r="H866" s="2867">
        <f>SUM(H867,H870)</f>
        <v>0</v>
      </c>
      <c r="I866" s="2867">
        <f>SUM(I867,I870)</f>
        <v>0</v>
      </c>
      <c r="J866" s="2868">
        <f>SUM(J867,J870)</f>
        <v>0</v>
      </c>
    </row>
    <row r="867" spans="1:10" s="2864" customFormat="1" ht="15" hidden="1" customHeight="1">
      <c r="A867" s="3911"/>
      <c r="B867" s="3913"/>
      <c r="C867" s="3925"/>
      <c r="D867" s="3928"/>
      <c r="E867" s="2880" t="s">
        <v>1311</v>
      </c>
      <c r="F867" s="2881">
        <f>SUM(F868:F869)</f>
        <v>0</v>
      </c>
      <c r="G867" s="2881">
        <f>SUM(G868:G869)</f>
        <v>0</v>
      </c>
      <c r="H867" s="2881">
        <f>SUM(H868:H869)</f>
        <v>0</v>
      </c>
      <c r="I867" s="2881">
        <f>SUM(I868:I869)</f>
        <v>0</v>
      </c>
      <c r="J867" s="2882">
        <f>SUM(J868:J869)</f>
        <v>0</v>
      </c>
    </row>
    <row r="868" spans="1:10" s="2864" customFormat="1" ht="15" hidden="1" customHeight="1">
      <c r="A868" s="3911"/>
      <c r="B868" s="3913"/>
      <c r="C868" s="3925"/>
      <c r="D868" s="3928"/>
      <c r="E868" s="2869"/>
      <c r="F868" s="2870">
        <f>SUM(G868:J868)</f>
        <v>0</v>
      </c>
      <c r="G868" s="2870"/>
      <c r="H868" s="2870"/>
      <c r="I868" s="2870"/>
      <c r="J868" s="2871"/>
    </row>
    <row r="869" spans="1:10" s="2864" customFormat="1" ht="15" hidden="1" customHeight="1">
      <c r="A869" s="3911"/>
      <c r="B869" s="3913"/>
      <c r="C869" s="3925"/>
      <c r="D869" s="3928"/>
      <c r="E869" s="2869"/>
      <c r="F869" s="2870">
        <f>SUM(G869:J869)</f>
        <v>0</v>
      </c>
      <c r="G869" s="2870"/>
      <c r="H869" s="2870"/>
      <c r="I869" s="2870"/>
      <c r="J869" s="2871"/>
    </row>
    <row r="870" spans="1:10" s="2864" customFormat="1" ht="15" hidden="1" customHeight="1">
      <c r="A870" s="3911"/>
      <c r="B870" s="3913"/>
      <c r="C870" s="3925"/>
      <c r="D870" s="3928"/>
      <c r="E870" s="2880" t="s">
        <v>1312</v>
      </c>
      <c r="F870" s="2881">
        <f>SUM(F871:F872)</f>
        <v>0</v>
      </c>
      <c r="G870" s="2881">
        <f>SUM(G871:G872)</f>
        <v>0</v>
      </c>
      <c r="H870" s="2881">
        <f>SUM(H871:H872)</f>
        <v>0</v>
      </c>
      <c r="I870" s="2881">
        <f>SUM(I871:I872)</f>
        <v>0</v>
      </c>
      <c r="J870" s="2882">
        <f>SUM(J871:J872)</f>
        <v>0</v>
      </c>
    </row>
    <row r="871" spans="1:10" s="2864" customFormat="1" ht="15" hidden="1" customHeight="1">
      <c r="A871" s="3911"/>
      <c r="B871" s="3913"/>
      <c r="C871" s="3925"/>
      <c r="D871" s="3928"/>
      <c r="E871" s="2869"/>
      <c r="F871" s="2870">
        <f>SUM(G871:J871)</f>
        <v>0</v>
      </c>
      <c r="G871" s="2870"/>
      <c r="H871" s="2870"/>
      <c r="I871" s="2870"/>
      <c r="J871" s="2871"/>
    </row>
    <row r="872" spans="1:10" s="2864" customFormat="1" ht="15" hidden="1" customHeight="1">
      <c r="A872" s="3911"/>
      <c r="B872" s="3913"/>
      <c r="C872" s="3925"/>
      <c r="D872" s="3928"/>
      <c r="E872" s="2869"/>
      <c r="F872" s="2870">
        <f>SUM(G872:J872)</f>
        <v>0</v>
      </c>
      <c r="G872" s="2870"/>
      <c r="H872" s="2870"/>
      <c r="I872" s="2870"/>
      <c r="J872" s="2871"/>
    </row>
    <row r="873" spans="1:10" s="2864" customFormat="1" ht="15" customHeight="1">
      <c r="A873" s="3911"/>
      <c r="B873" s="3913"/>
      <c r="C873" s="3925"/>
      <c r="D873" s="3928"/>
      <c r="E873" s="2872" t="s">
        <v>1305</v>
      </c>
      <c r="F873" s="2867">
        <f>SUM(F874:F879)</f>
        <v>22654961</v>
      </c>
      <c r="G873" s="2867">
        <f>SUM(G874:G879)</f>
        <v>3320348</v>
      </c>
      <c r="H873" s="2867">
        <f>SUM(H874:H879)</f>
        <v>18134613</v>
      </c>
      <c r="I873" s="2867">
        <f>SUM(I874:I879)</f>
        <v>0</v>
      </c>
      <c r="J873" s="2868">
        <f>SUM(J874:J879)</f>
        <v>1200000</v>
      </c>
    </row>
    <row r="874" spans="1:10" s="2864" customFormat="1" ht="15" customHeight="1">
      <c r="A874" s="3911"/>
      <c r="B874" s="3913"/>
      <c r="C874" s="3925"/>
      <c r="D874" s="3928"/>
      <c r="E874" s="2869" t="s">
        <v>821</v>
      </c>
      <c r="F874" s="2870">
        <f t="shared" ref="F874:F879" si="104">SUM(G874:J874)</f>
        <v>1320122</v>
      </c>
      <c r="G874" s="2870">
        <v>1320122</v>
      </c>
      <c r="H874" s="2870"/>
      <c r="I874" s="2870"/>
      <c r="J874" s="2871"/>
    </row>
    <row r="875" spans="1:10" s="2864" customFormat="1" ht="15" customHeight="1">
      <c r="A875" s="3911"/>
      <c r="B875" s="3913"/>
      <c r="C875" s="3925"/>
      <c r="D875" s="3928"/>
      <c r="E875" s="2869" t="s">
        <v>920</v>
      </c>
      <c r="F875" s="2870">
        <f t="shared" si="104"/>
        <v>18134613</v>
      </c>
      <c r="G875" s="2870"/>
      <c r="H875" s="2870">
        <v>18134613</v>
      </c>
      <c r="I875" s="2870"/>
      <c r="J875" s="2871"/>
    </row>
    <row r="876" spans="1:10" s="2864" customFormat="1" ht="15" customHeight="1">
      <c r="A876" s="3911"/>
      <c r="B876" s="3913"/>
      <c r="C876" s="3925"/>
      <c r="D876" s="3928"/>
      <c r="E876" s="2869" t="s">
        <v>921</v>
      </c>
      <c r="F876" s="2870">
        <f t="shared" si="104"/>
        <v>3200226</v>
      </c>
      <c r="G876" s="2870">
        <v>2000226</v>
      </c>
      <c r="H876" s="2870"/>
      <c r="I876" s="2870"/>
      <c r="J876" s="2871">
        <v>1200000</v>
      </c>
    </row>
    <row r="877" spans="1:10" s="2864" customFormat="1" ht="15" hidden="1" customHeight="1">
      <c r="A877" s="3911"/>
      <c r="B877" s="3913"/>
      <c r="C877" s="3925"/>
      <c r="D877" s="3928"/>
      <c r="E877" s="2869" t="s">
        <v>812</v>
      </c>
      <c r="F877" s="2870">
        <f t="shared" si="104"/>
        <v>0</v>
      </c>
      <c r="G877" s="2870"/>
      <c r="H877" s="2870"/>
      <c r="I877" s="2870"/>
      <c r="J877" s="2871"/>
    </row>
    <row r="878" spans="1:10" s="2864" customFormat="1" ht="15" hidden="1" customHeight="1">
      <c r="A878" s="3911"/>
      <c r="B878" s="3913"/>
      <c r="C878" s="3925"/>
      <c r="D878" s="3928"/>
      <c r="E878" s="2869" t="s">
        <v>897</v>
      </c>
      <c r="F878" s="2870">
        <f t="shared" si="104"/>
        <v>0</v>
      </c>
      <c r="G878" s="2870"/>
      <c r="H878" s="2870"/>
      <c r="I878" s="2870"/>
      <c r="J878" s="2871"/>
    </row>
    <row r="879" spans="1:10" s="2864" customFormat="1" ht="15" hidden="1" customHeight="1">
      <c r="A879" s="3920"/>
      <c r="B879" s="3937"/>
      <c r="C879" s="3926"/>
      <c r="D879" s="3929"/>
      <c r="E879" s="2874">
        <v>6069</v>
      </c>
      <c r="F879" s="2870">
        <f t="shared" si="104"/>
        <v>0</v>
      </c>
      <c r="G879" s="2870"/>
      <c r="H879" s="2870"/>
      <c r="I879" s="2870"/>
      <c r="J879" s="2871"/>
    </row>
    <row r="880" spans="1:10" s="2864" customFormat="1" ht="15" hidden="1" customHeight="1">
      <c r="A880" s="3952" t="s">
        <v>1319</v>
      </c>
      <c r="B880" s="3953" t="s">
        <v>1386</v>
      </c>
      <c r="C880" s="3954">
        <v>600</v>
      </c>
      <c r="D880" s="3955" t="s">
        <v>926</v>
      </c>
      <c r="E880" s="2898" t="s">
        <v>1304</v>
      </c>
      <c r="F880" s="2899">
        <f>SUM(F881,F888)</f>
        <v>0</v>
      </c>
      <c r="G880" s="2899">
        <f>SUM(G881,G888)</f>
        <v>0</v>
      </c>
      <c r="H880" s="2899">
        <f>SUM(H881,H888)</f>
        <v>0</v>
      </c>
      <c r="I880" s="2899">
        <f>SUM(I881,I888)</f>
        <v>0</v>
      </c>
      <c r="J880" s="2900">
        <f>SUM(J881,J888)</f>
        <v>0</v>
      </c>
    </row>
    <row r="881" spans="1:10" s="2864" customFormat="1" ht="15" hidden="1" customHeight="1">
      <c r="A881" s="3952"/>
      <c r="B881" s="3953"/>
      <c r="C881" s="3954"/>
      <c r="D881" s="3955"/>
      <c r="E881" s="2901" t="s">
        <v>1017</v>
      </c>
      <c r="F881" s="2902">
        <f>SUM(F882,F885)</f>
        <v>0</v>
      </c>
      <c r="G881" s="2902">
        <f>SUM(G882,G885)</f>
        <v>0</v>
      </c>
      <c r="H881" s="2902">
        <f>SUM(H882,H885)</f>
        <v>0</v>
      </c>
      <c r="I881" s="2902">
        <f>SUM(I882,I885)</f>
        <v>0</v>
      </c>
      <c r="J881" s="2903">
        <f>SUM(J882,J885)</f>
        <v>0</v>
      </c>
    </row>
    <row r="882" spans="1:10" s="2864" customFormat="1" ht="15" hidden="1" customHeight="1">
      <c r="A882" s="3952"/>
      <c r="B882" s="3953"/>
      <c r="C882" s="3954"/>
      <c r="D882" s="3955"/>
      <c r="E882" s="2904" t="s">
        <v>1311</v>
      </c>
      <c r="F882" s="2905">
        <f>SUM(F883:F884)</f>
        <v>0</v>
      </c>
      <c r="G882" s="2905">
        <f>SUM(G883:G884)</f>
        <v>0</v>
      </c>
      <c r="H882" s="2905">
        <f>SUM(H883:H884)</f>
        <v>0</v>
      </c>
      <c r="I882" s="2905">
        <f>SUM(I883:I884)</f>
        <v>0</v>
      </c>
      <c r="J882" s="2906">
        <f>SUM(J883:J884)</f>
        <v>0</v>
      </c>
    </row>
    <row r="883" spans="1:10" s="2864" customFormat="1" ht="15" hidden="1" customHeight="1">
      <c r="A883" s="3952"/>
      <c r="B883" s="3953"/>
      <c r="C883" s="3954"/>
      <c r="D883" s="3955"/>
      <c r="E883" s="2895"/>
      <c r="F883" s="2896">
        <f>SUM(G883:J883)</f>
        <v>0</v>
      </c>
      <c r="G883" s="2896"/>
      <c r="H883" s="2896"/>
      <c r="I883" s="2896"/>
      <c r="J883" s="2897"/>
    </row>
    <row r="884" spans="1:10" s="2864" customFormat="1" ht="15" hidden="1" customHeight="1">
      <c r="A884" s="3952"/>
      <c r="B884" s="3953"/>
      <c r="C884" s="3954"/>
      <c r="D884" s="3955"/>
      <c r="E884" s="2895"/>
      <c r="F884" s="2896">
        <f>SUM(G884:J884)</f>
        <v>0</v>
      </c>
      <c r="G884" s="2896"/>
      <c r="H884" s="2896"/>
      <c r="I884" s="2896"/>
      <c r="J884" s="2897"/>
    </row>
    <row r="885" spans="1:10" s="2864" customFormat="1" ht="15" hidden="1" customHeight="1">
      <c r="A885" s="3952"/>
      <c r="B885" s="3953"/>
      <c r="C885" s="3954"/>
      <c r="D885" s="3955"/>
      <c r="E885" s="2904" t="s">
        <v>1312</v>
      </c>
      <c r="F885" s="2905">
        <f>SUM(F886:F887)</f>
        <v>0</v>
      </c>
      <c r="G885" s="2905">
        <f>SUM(G886:G887)</f>
        <v>0</v>
      </c>
      <c r="H885" s="2905">
        <f>SUM(H886:H887)</f>
        <v>0</v>
      </c>
      <c r="I885" s="2905">
        <f>SUM(I886:I887)</f>
        <v>0</v>
      </c>
      <c r="J885" s="2906">
        <f>SUM(J886:J887)</f>
        <v>0</v>
      </c>
    </row>
    <row r="886" spans="1:10" s="2864" customFormat="1" ht="15" hidden="1" customHeight="1">
      <c r="A886" s="3952"/>
      <c r="B886" s="3953"/>
      <c r="C886" s="3954"/>
      <c r="D886" s="3955"/>
      <c r="E886" s="2895"/>
      <c r="F886" s="2896">
        <f>SUM(G886:J886)</f>
        <v>0</v>
      </c>
      <c r="G886" s="2896"/>
      <c r="H886" s="2896"/>
      <c r="I886" s="2896"/>
      <c r="J886" s="2897"/>
    </row>
    <row r="887" spans="1:10" s="2864" customFormat="1" ht="15" hidden="1" customHeight="1">
      <c r="A887" s="3952"/>
      <c r="B887" s="3953"/>
      <c r="C887" s="3954"/>
      <c r="D887" s="3955"/>
      <c r="E887" s="2895"/>
      <c r="F887" s="2896">
        <f>SUM(G887:J887)</f>
        <v>0</v>
      </c>
      <c r="G887" s="2896"/>
      <c r="H887" s="2896"/>
      <c r="I887" s="2896"/>
      <c r="J887" s="2897"/>
    </row>
    <row r="888" spans="1:10" s="2864" customFormat="1" ht="15" hidden="1" customHeight="1">
      <c r="A888" s="3952"/>
      <c r="B888" s="3953"/>
      <c r="C888" s="3954"/>
      <c r="D888" s="3955"/>
      <c r="E888" s="2907" t="s">
        <v>1305</v>
      </c>
      <c r="F888" s="2902">
        <f>SUM(F889:F894)</f>
        <v>0</v>
      </c>
      <c r="G888" s="2902">
        <f>SUM(G889:G894)</f>
        <v>0</v>
      </c>
      <c r="H888" s="2902">
        <f>SUM(H889:H894)</f>
        <v>0</v>
      </c>
      <c r="I888" s="2902">
        <f>SUM(I889:I894)</f>
        <v>0</v>
      </c>
      <c r="J888" s="2903">
        <f>SUM(J889:J894)</f>
        <v>0</v>
      </c>
    </row>
    <row r="889" spans="1:10" s="2864" customFormat="1" ht="15" hidden="1" customHeight="1">
      <c r="A889" s="3952"/>
      <c r="B889" s="3953"/>
      <c r="C889" s="3954"/>
      <c r="D889" s="3955"/>
      <c r="E889" s="2895" t="s">
        <v>821</v>
      </c>
      <c r="F889" s="2896">
        <f t="shared" ref="F889:F894" si="105">SUM(G889:J889)</f>
        <v>0</v>
      </c>
      <c r="G889" s="2896"/>
      <c r="H889" s="2896"/>
      <c r="I889" s="2896"/>
      <c r="J889" s="2897"/>
    </row>
    <row r="890" spans="1:10" s="2864" customFormat="1" ht="15" hidden="1" customHeight="1">
      <c r="A890" s="3952"/>
      <c r="B890" s="3953"/>
      <c r="C890" s="3954"/>
      <c r="D890" s="3955"/>
      <c r="E890" s="2895" t="s">
        <v>920</v>
      </c>
      <c r="F890" s="2896">
        <f t="shared" si="105"/>
        <v>0</v>
      </c>
      <c r="G890" s="2896"/>
      <c r="H890" s="2896"/>
      <c r="I890" s="2896"/>
      <c r="J890" s="2897"/>
    </row>
    <row r="891" spans="1:10" s="2864" customFormat="1" ht="15" hidden="1" customHeight="1">
      <c r="A891" s="3952"/>
      <c r="B891" s="3953"/>
      <c r="C891" s="3954"/>
      <c r="D891" s="3955"/>
      <c r="E891" s="2895" t="s">
        <v>921</v>
      </c>
      <c r="F891" s="2896">
        <f t="shared" si="105"/>
        <v>0</v>
      </c>
      <c r="G891" s="2896"/>
      <c r="H891" s="2896"/>
      <c r="I891" s="2896"/>
      <c r="J891" s="2897"/>
    </row>
    <row r="892" spans="1:10" s="2864" customFormat="1" ht="15" hidden="1" customHeight="1">
      <c r="A892" s="3952"/>
      <c r="B892" s="3953"/>
      <c r="C892" s="3954"/>
      <c r="D892" s="3955"/>
      <c r="E892" s="2895" t="s">
        <v>812</v>
      </c>
      <c r="F892" s="2896">
        <f t="shared" si="105"/>
        <v>0</v>
      </c>
      <c r="G892" s="2896"/>
      <c r="H892" s="2896"/>
      <c r="I892" s="2896"/>
      <c r="J892" s="2897"/>
    </row>
    <row r="893" spans="1:10" s="2864" customFormat="1" ht="15" hidden="1" customHeight="1">
      <c r="A893" s="3952"/>
      <c r="B893" s="3953"/>
      <c r="C893" s="3954"/>
      <c r="D893" s="3955"/>
      <c r="E893" s="2895" t="s">
        <v>897</v>
      </c>
      <c r="F893" s="2896">
        <f t="shared" si="105"/>
        <v>0</v>
      </c>
      <c r="G893" s="2896"/>
      <c r="H893" s="2896"/>
      <c r="I893" s="2896"/>
      <c r="J893" s="2897"/>
    </row>
    <row r="894" spans="1:10" s="2864" customFormat="1" ht="15" hidden="1" customHeight="1">
      <c r="A894" s="3952"/>
      <c r="B894" s="3953"/>
      <c r="C894" s="3954"/>
      <c r="D894" s="3955"/>
      <c r="E894" s="2916">
        <v>6069</v>
      </c>
      <c r="F894" s="2896">
        <f t="shared" si="105"/>
        <v>0</v>
      </c>
      <c r="G894" s="2896"/>
      <c r="H894" s="2896"/>
      <c r="I894" s="2896"/>
      <c r="J894" s="2897"/>
    </row>
    <row r="895" spans="1:10" s="2864" customFormat="1" ht="15" hidden="1" customHeight="1">
      <c r="A895" s="3952" t="s">
        <v>1326</v>
      </c>
      <c r="B895" s="3953" t="s">
        <v>1387</v>
      </c>
      <c r="C895" s="3954">
        <v>600</v>
      </c>
      <c r="D895" s="3955" t="s">
        <v>926</v>
      </c>
      <c r="E895" s="2898" t="s">
        <v>1304</v>
      </c>
      <c r="F895" s="2899">
        <f>SUM(F896,F903)</f>
        <v>0</v>
      </c>
      <c r="G895" s="2899">
        <f>SUM(G896,G903)</f>
        <v>0</v>
      </c>
      <c r="H895" s="2899">
        <f>SUM(H896,H903)</f>
        <v>0</v>
      </c>
      <c r="I895" s="2899">
        <f>SUM(I896,I903)</f>
        <v>0</v>
      </c>
      <c r="J895" s="2900">
        <f>SUM(J896,J903)</f>
        <v>0</v>
      </c>
    </row>
    <row r="896" spans="1:10" s="2864" customFormat="1" ht="15" hidden="1" customHeight="1">
      <c r="A896" s="3952"/>
      <c r="B896" s="3953"/>
      <c r="C896" s="3954"/>
      <c r="D896" s="3955"/>
      <c r="E896" s="2901" t="s">
        <v>1017</v>
      </c>
      <c r="F896" s="2902">
        <f>SUM(F897,F900)</f>
        <v>0</v>
      </c>
      <c r="G896" s="2902">
        <f>SUM(G897,G900)</f>
        <v>0</v>
      </c>
      <c r="H896" s="2902">
        <f>SUM(H897,H900)</f>
        <v>0</v>
      </c>
      <c r="I896" s="2902">
        <f>SUM(I897,I900)</f>
        <v>0</v>
      </c>
      <c r="J896" s="2903">
        <f>SUM(J897,J900)</f>
        <v>0</v>
      </c>
    </row>
    <row r="897" spans="1:10" s="2864" customFormat="1" ht="15" hidden="1" customHeight="1">
      <c r="A897" s="3952"/>
      <c r="B897" s="3953"/>
      <c r="C897" s="3954"/>
      <c r="D897" s="3955"/>
      <c r="E897" s="2904" t="s">
        <v>1311</v>
      </c>
      <c r="F897" s="2905">
        <f>SUM(F898:F899)</f>
        <v>0</v>
      </c>
      <c r="G897" s="2905">
        <f>SUM(G898:G899)</f>
        <v>0</v>
      </c>
      <c r="H897" s="2905">
        <f>SUM(H898:H899)</f>
        <v>0</v>
      </c>
      <c r="I897" s="2905">
        <f>SUM(I898:I899)</f>
        <v>0</v>
      </c>
      <c r="J897" s="2906">
        <f>SUM(J898:J899)</f>
        <v>0</v>
      </c>
    </row>
    <row r="898" spans="1:10" s="2864" customFormat="1" ht="15" hidden="1" customHeight="1">
      <c r="A898" s="3952"/>
      <c r="B898" s="3953"/>
      <c r="C898" s="3954"/>
      <c r="D898" s="3955"/>
      <c r="E898" s="2895"/>
      <c r="F898" s="2896">
        <f>SUM(G898:J898)</f>
        <v>0</v>
      </c>
      <c r="G898" s="2896"/>
      <c r="H898" s="2896"/>
      <c r="I898" s="2896"/>
      <c r="J898" s="2897"/>
    </row>
    <row r="899" spans="1:10" s="2864" customFormat="1" ht="15" hidden="1" customHeight="1">
      <c r="A899" s="3952"/>
      <c r="B899" s="3953"/>
      <c r="C899" s="3954"/>
      <c r="D899" s="3955"/>
      <c r="E899" s="2895"/>
      <c r="F899" s="2896">
        <f>SUM(G899:J899)</f>
        <v>0</v>
      </c>
      <c r="G899" s="2896"/>
      <c r="H899" s="2896"/>
      <c r="I899" s="2896"/>
      <c r="J899" s="2897"/>
    </row>
    <row r="900" spans="1:10" s="2864" customFormat="1" ht="15" hidden="1" customHeight="1">
      <c r="A900" s="3952"/>
      <c r="B900" s="3953"/>
      <c r="C900" s="3954"/>
      <c r="D900" s="3955"/>
      <c r="E900" s="2904" t="s">
        <v>1312</v>
      </c>
      <c r="F900" s="2905">
        <f>SUM(F901:F902)</f>
        <v>0</v>
      </c>
      <c r="G900" s="2905">
        <f>SUM(G901:G902)</f>
        <v>0</v>
      </c>
      <c r="H900" s="2905">
        <f>SUM(H901:H902)</f>
        <v>0</v>
      </c>
      <c r="I900" s="2905">
        <f>SUM(I901:I902)</f>
        <v>0</v>
      </c>
      <c r="J900" s="2906">
        <f>SUM(J901:J902)</f>
        <v>0</v>
      </c>
    </row>
    <row r="901" spans="1:10" s="2864" customFormat="1" ht="15" hidden="1" customHeight="1">
      <c r="A901" s="3952"/>
      <c r="B901" s="3953"/>
      <c r="C901" s="3954"/>
      <c r="D901" s="3955"/>
      <c r="E901" s="2895"/>
      <c r="F901" s="2896">
        <f>SUM(G901:J901)</f>
        <v>0</v>
      </c>
      <c r="G901" s="2896"/>
      <c r="H901" s="2896"/>
      <c r="I901" s="2896"/>
      <c r="J901" s="2897"/>
    </row>
    <row r="902" spans="1:10" s="2864" customFormat="1" ht="15" hidden="1" customHeight="1">
      <c r="A902" s="3952"/>
      <c r="B902" s="3953"/>
      <c r="C902" s="3954"/>
      <c r="D902" s="3955"/>
      <c r="E902" s="2895"/>
      <c r="F902" s="2896">
        <f>SUM(G902:J902)</f>
        <v>0</v>
      </c>
      <c r="G902" s="2896"/>
      <c r="H902" s="2896"/>
      <c r="I902" s="2896"/>
      <c r="J902" s="2897"/>
    </row>
    <row r="903" spans="1:10" s="2864" customFormat="1" ht="15" hidden="1" customHeight="1">
      <c r="A903" s="3952"/>
      <c r="B903" s="3953"/>
      <c r="C903" s="3954"/>
      <c r="D903" s="3955"/>
      <c r="E903" s="2907" t="s">
        <v>1305</v>
      </c>
      <c r="F903" s="2902">
        <f>SUM(F904:F909)</f>
        <v>0</v>
      </c>
      <c r="G903" s="2902">
        <f>SUM(G904:G909)</f>
        <v>0</v>
      </c>
      <c r="H903" s="2902">
        <f>SUM(H904:H909)</f>
        <v>0</v>
      </c>
      <c r="I903" s="2902">
        <f>SUM(I904:I909)</f>
        <v>0</v>
      </c>
      <c r="J903" s="2903">
        <f>SUM(J904:J909)</f>
        <v>0</v>
      </c>
    </row>
    <row r="904" spans="1:10" s="2864" customFormat="1" ht="15" hidden="1" customHeight="1">
      <c r="A904" s="3952"/>
      <c r="B904" s="3953"/>
      <c r="C904" s="3954"/>
      <c r="D904" s="3955"/>
      <c r="E904" s="2895" t="s">
        <v>821</v>
      </c>
      <c r="F904" s="2896">
        <f t="shared" ref="F904:F909" si="106">SUM(G904:J904)</f>
        <v>0</v>
      </c>
      <c r="G904" s="2896"/>
      <c r="H904" s="2896"/>
      <c r="I904" s="2896"/>
      <c r="J904" s="2897"/>
    </row>
    <row r="905" spans="1:10" s="2864" customFormat="1" ht="15" hidden="1" customHeight="1">
      <c r="A905" s="3952"/>
      <c r="B905" s="3953"/>
      <c r="C905" s="3954"/>
      <c r="D905" s="3955"/>
      <c r="E905" s="2916">
        <v>6057</v>
      </c>
      <c r="F905" s="2896">
        <f t="shared" si="106"/>
        <v>0</v>
      </c>
      <c r="G905" s="2896"/>
      <c r="H905" s="2896"/>
      <c r="I905" s="2896"/>
      <c r="J905" s="2897"/>
    </row>
    <row r="906" spans="1:10" s="2864" customFormat="1" ht="15" hidden="1" customHeight="1">
      <c r="A906" s="3952"/>
      <c r="B906" s="3953"/>
      <c r="C906" s="3954"/>
      <c r="D906" s="3955"/>
      <c r="E906" s="2916">
        <v>6059</v>
      </c>
      <c r="F906" s="2896">
        <f t="shared" si="106"/>
        <v>0</v>
      </c>
      <c r="G906" s="2896"/>
      <c r="H906" s="2896"/>
      <c r="I906" s="2896"/>
      <c r="J906" s="2897"/>
    </row>
    <row r="907" spans="1:10" s="2864" customFormat="1" ht="15" hidden="1" customHeight="1">
      <c r="A907" s="3952"/>
      <c r="B907" s="3953"/>
      <c r="C907" s="3954"/>
      <c r="D907" s="3955"/>
      <c r="E907" s="2916">
        <v>6060</v>
      </c>
      <c r="F907" s="2896">
        <f t="shared" si="106"/>
        <v>0</v>
      </c>
      <c r="G907" s="2896"/>
      <c r="H907" s="2896"/>
      <c r="I907" s="2896"/>
      <c r="J907" s="2897"/>
    </row>
    <row r="908" spans="1:10" s="2864" customFormat="1" ht="15" hidden="1" customHeight="1">
      <c r="A908" s="3952"/>
      <c r="B908" s="3953"/>
      <c r="C908" s="3954"/>
      <c r="D908" s="3955"/>
      <c r="E908" s="2895" t="s">
        <v>897</v>
      </c>
      <c r="F908" s="2896">
        <f t="shared" si="106"/>
        <v>0</v>
      </c>
      <c r="G908" s="2896"/>
      <c r="H908" s="2896"/>
      <c r="I908" s="2896"/>
      <c r="J908" s="2897"/>
    </row>
    <row r="909" spans="1:10" s="2864" customFormat="1" ht="15" hidden="1" customHeight="1">
      <c r="A909" s="3952"/>
      <c r="B909" s="3953"/>
      <c r="C909" s="3954"/>
      <c r="D909" s="3955"/>
      <c r="E909" s="2916">
        <v>6069</v>
      </c>
      <c r="F909" s="2896">
        <f t="shared" si="106"/>
        <v>0</v>
      </c>
      <c r="G909" s="2896"/>
      <c r="H909" s="2896"/>
      <c r="I909" s="2896"/>
      <c r="J909" s="2897"/>
    </row>
    <row r="910" spans="1:10" s="2864" customFormat="1" ht="22.5">
      <c r="A910" s="3934" t="s">
        <v>1317</v>
      </c>
      <c r="B910" s="3935" t="s">
        <v>1388</v>
      </c>
      <c r="C910" s="3936">
        <v>600</v>
      </c>
      <c r="D910" s="3939" t="s">
        <v>926</v>
      </c>
      <c r="E910" s="2861" t="s">
        <v>1304</v>
      </c>
      <c r="F910" s="2862">
        <f>SUM(F911,F918)</f>
        <v>50319495</v>
      </c>
      <c r="G910" s="2862">
        <f>SUM(G911,G918)</f>
        <v>7404224</v>
      </c>
      <c r="H910" s="2862">
        <f>SUM(H911,H918)</f>
        <v>41865271</v>
      </c>
      <c r="I910" s="2862">
        <f>SUM(I911,I918)</f>
        <v>0</v>
      </c>
      <c r="J910" s="2863">
        <f>SUM(J911,J918)</f>
        <v>1050000</v>
      </c>
    </row>
    <row r="911" spans="1:10" s="2864" customFormat="1" ht="15" customHeight="1">
      <c r="A911" s="3934"/>
      <c r="B911" s="3935"/>
      <c r="C911" s="3936"/>
      <c r="D911" s="3939"/>
      <c r="E911" s="2866" t="s">
        <v>1017</v>
      </c>
      <c r="F911" s="2867">
        <f>SUM(F912,F915)</f>
        <v>0</v>
      </c>
      <c r="G911" s="2867">
        <f>SUM(G912,G915)</f>
        <v>0</v>
      </c>
      <c r="H911" s="2867">
        <f>SUM(H912,H915)</f>
        <v>0</v>
      </c>
      <c r="I911" s="2867">
        <f>SUM(I912,I915)</f>
        <v>0</v>
      </c>
      <c r="J911" s="2868">
        <f>SUM(J912,J915)</f>
        <v>0</v>
      </c>
    </row>
    <row r="912" spans="1:10" s="2864" customFormat="1" ht="15" hidden="1" customHeight="1">
      <c r="A912" s="3934"/>
      <c r="B912" s="3935"/>
      <c r="C912" s="3936"/>
      <c r="D912" s="3939"/>
      <c r="E912" s="2880" t="s">
        <v>1311</v>
      </c>
      <c r="F912" s="2881">
        <f>SUM(F913:F914)</f>
        <v>0</v>
      </c>
      <c r="G912" s="2881">
        <f>SUM(G913:G914)</f>
        <v>0</v>
      </c>
      <c r="H912" s="2881">
        <f>SUM(H913:H914)</f>
        <v>0</v>
      </c>
      <c r="I912" s="2881">
        <f>SUM(I913:I914)</f>
        <v>0</v>
      </c>
      <c r="J912" s="2882">
        <f>SUM(J913:J914)</f>
        <v>0</v>
      </c>
    </row>
    <row r="913" spans="1:10" s="2864" customFormat="1" ht="15" hidden="1" customHeight="1">
      <c r="A913" s="3934"/>
      <c r="B913" s="3935"/>
      <c r="C913" s="3936"/>
      <c r="D913" s="3939"/>
      <c r="E913" s="2869"/>
      <c r="F913" s="2870">
        <f>SUM(G913:J913)</f>
        <v>0</v>
      </c>
      <c r="G913" s="2870"/>
      <c r="H913" s="2870"/>
      <c r="I913" s="2870"/>
      <c r="J913" s="2871"/>
    </row>
    <row r="914" spans="1:10" s="2864" customFormat="1" ht="15" hidden="1" customHeight="1">
      <c r="A914" s="3934"/>
      <c r="B914" s="3935"/>
      <c r="C914" s="3936"/>
      <c r="D914" s="3939"/>
      <c r="E914" s="2869"/>
      <c r="F914" s="2870">
        <f>SUM(G914:J914)</f>
        <v>0</v>
      </c>
      <c r="G914" s="2870"/>
      <c r="H914" s="2870"/>
      <c r="I914" s="2870"/>
      <c r="J914" s="2871"/>
    </row>
    <row r="915" spans="1:10" s="2864" customFormat="1" ht="15" hidden="1" customHeight="1">
      <c r="A915" s="3934"/>
      <c r="B915" s="3935"/>
      <c r="C915" s="3936"/>
      <c r="D915" s="3939"/>
      <c r="E915" s="2880" t="s">
        <v>1312</v>
      </c>
      <c r="F915" s="2881">
        <f>SUM(F916:F917)</f>
        <v>0</v>
      </c>
      <c r="G915" s="2881">
        <f>SUM(G916:G917)</f>
        <v>0</v>
      </c>
      <c r="H915" s="2881">
        <f>SUM(H916:H917)</f>
        <v>0</v>
      </c>
      <c r="I915" s="2881">
        <f>SUM(I916:I917)</f>
        <v>0</v>
      </c>
      <c r="J915" s="2882">
        <f>SUM(J916:J917)</f>
        <v>0</v>
      </c>
    </row>
    <row r="916" spans="1:10" s="2864" customFormat="1" ht="15" hidden="1" customHeight="1">
      <c r="A916" s="3934"/>
      <c r="B916" s="3935"/>
      <c r="C916" s="3936"/>
      <c r="D916" s="3939"/>
      <c r="E916" s="2869"/>
      <c r="F916" s="2870">
        <f>SUM(G916:J916)</f>
        <v>0</v>
      </c>
      <c r="G916" s="2870"/>
      <c r="H916" s="2870"/>
      <c r="I916" s="2870"/>
      <c r="J916" s="2871"/>
    </row>
    <row r="917" spans="1:10" s="2864" customFormat="1" ht="15" hidden="1" customHeight="1">
      <c r="A917" s="3934"/>
      <c r="B917" s="3935"/>
      <c r="C917" s="3936"/>
      <c r="D917" s="3939"/>
      <c r="E917" s="2869"/>
      <c r="F917" s="2870">
        <f>SUM(G917:J917)</f>
        <v>0</v>
      </c>
      <c r="G917" s="2870"/>
      <c r="H917" s="2870"/>
      <c r="I917" s="2870"/>
      <c r="J917" s="2871"/>
    </row>
    <row r="918" spans="1:10" s="2864" customFormat="1" ht="15" customHeight="1">
      <c r="A918" s="3934"/>
      <c r="B918" s="3935"/>
      <c r="C918" s="3936"/>
      <c r="D918" s="3939"/>
      <c r="E918" s="2872" t="s">
        <v>1305</v>
      </c>
      <c r="F918" s="2867">
        <f>SUM(F919:F924)</f>
        <v>50319495</v>
      </c>
      <c r="G918" s="2867">
        <f>SUM(G919:G924)</f>
        <v>7404224</v>
      </c>
      <c r="H918" s="2867">
        <f>SUM(H919:H924)</f>
        <v>41865271</v>
      </c>
      <c r="I918" s="2867">
        <f>SUM(I919:I924)</f>
        <v>0</v>
      </c>
      <c r="J918" s="2868">
        <f>SUM(J919:J924)</f>
        <v>1050000</v>
      </c>
    </row>
    <row r="919" spans="1:10" s="2864" customFormat="1" ht="15" customHeight="1">
      <c r="A919" s="3934"/>
      <c r="B919" s="3935"/>
      <c r="C919" s="3936"/>
      <c r="D919" s="3939"/>
      <c r="E919" s="2869" t="s">
        <v>821</v>
      </c>
      <c r="F919" s="2870">
        <f>SUM(G919:J919)</f>
        <v>1066235</v>
      </c>
      <c r="G919" s="2870">
        <v>16235</v>
      </c>
      <c r="H919" s="2870"/>
      <c r="I919" s="2870"/>
      <c r="J919" s="2871">
        <v>1050000</v>
      </c>
    </row>
    <row r="920" spans="1:10" s="2864" customFormat="1" ht="15" customHeight="1">
      <c r="A920" s="3934"/>
      <c r="B920" s="3935"/>
      <c r="C920" s="3936"/>
      <c r="D920" s="3939"/>
      <c r="E920" s="2874">
        <v>6057</v>
      </c>
      <c r="F920" s="2870">
        <f t="shared" ref="F920:F924" si="107">SUM(G920:J920)</f>
        <v>41865271</v>
      </c>
      <c r="G920" s="2870"/>
      <c r="H920" s="2870">
        <v>41865271</v>
      </c>
      <c r="I920" s="2870"/>
      <c r="J920" s="2871"/>
    </row>
    <row r="921" spans="1:10" s="2864" customFormat="1" ht="15" customHeight="1">
      <c r="A921" s="3934"/>
      <c r="B921" s="3935"/>
      <c r="C921" s="3936"/>
      <c r="D921" s="3939"/>
      <c r="E921" s="2874">
        <v>6059</v>
      </c>
      <c r="F921" s="2870">
        <f t="shared" si="107"/>
        <v>7387989</v>
      </c>
      <c r="G921" s="2870">
        <v>7387989</v>
      </c>
      <c r="H921" s="2870"/>
      <c r="I921" s="2870"/>
      <c r="J921" s="2871"/>
    </row>
    <row r="922" spans="1:10" s="2864" customFormat="1" ht="15" hidden="1" customHeight="1">
      <c r="A922" s="3934"/>
      <c r="B922" s="3935"/>
      <c r="C922" s="3936"/>
      <c r="D922" s="3939"/>
      <c r="E922" s="2874">
        <v>6060</v>
      </c>
      <c r="F922" s="2870">
        <f t="shared" si="107"/>
        <v>0</v>
      </c>
      <c r="G922" s="2870"/>
      <c r="H922" s="2870"/>
      <c r="I922" s="2870"/>
      <c r="J922" s="2871"/>
    </row>
    <row r="923" spans="1:10" s="2864" customFormat="1" ht="15" hidden="1" customHeight="1">
      <c r="A923" s="3934"/>
      <c r="B923" s="3935"/>
      <c r="C923" s="3936"/>
      <c r="D923" s="3939"/>
      <c r="E923" s="2869" t="s">
        <v>897</v>
      </c>
      <c r="F923" s="2870">
        <f t="shared" si="107"/>
        <v>0</v>
      </c>
      <c r="G923" s="2870"/>
      <c r="H923" s="2870"/>
      <c r="I923" s="2870"/>
      <c r="J923" s="2871"/>
    </row>
    <row r="924" spans="1:10" s="2864" customFormat="1" ht="15" hidden="1" customHeight="1">
      <c r="A924" s="3934"/>
      <c r="B924" s="3935"/>
      <c r="C924" s="3936"/>
      <c r="D924" s="3939"/>
      <c r="E924" s="2874">
        <v>6069</v>
      </c>
      <c r="F924" s="2870">
        <f t="shared" si="107"/>
        <v>0</v>
      </c>
      <c r="G924" s="2870"/>
      <c r="H924" s="2870"/>
      <c r="I924" s="2870"/>
      <c r="J924" s="2871"/>
    </row>
    <row r="925" spans="1:10" s="2864" customFormat="1" ht="22.5" customHeight="1">
      <c r="A925" s="3910" t="s">
        <v>1319</v>
      </c>
      <c r="B925" s="3912" t="s">
        <v>1389</v>
      </c>
      <c r="C925" s="3924">
        <v>600</v>
      </c>
      <c r="D925" s="3927" t="s">
        <v>926</v>
      </c>
      <c r="E925" s="2861" t="s">
        <v>1304</v>
      </c>
      <c r="F925" s="2862">
        <f>SUM(F926,F933)</f>
        <v>591399</v>
      </c>
      <c r="G925" s="2862">
        <f>SUM(G926,G933)</f>
        <v>100099</v>
      </c>
      <c r="H925" s="2862">
        <f>SUM(H926,H933)</f>
        <v>491300</v>
      </c>
      <c r="I925" s="2862">
        <f>SUM(I926,I933)</f>
        <v>0</v>
      </c>
      <c r="J925" s="2863">
        <f>SUM(J926,J933)</f>
        <v>0</v>
      </c>
    </row>
    <row r="926" spans="1:10" s="2864" customFormat="1" ht="15" customHeight="1">
      <c r="A926" s="3911"/>
      <c r="B926" s="3913"/>
      <c r="C926" s="3925"/>
      <c r="D926" s="3928"/>
      <c r="E926" s="2866" t="s">
        <v>1017</v>
      </c>
      <c r="F926" s="2867">
        <f>SUM(F927,F930)</f>
        <v>0</v>
      </c>
      <c r="G926" s="2867">
        <f>SUM(G927,G930)</f>
        <v>0</v>
      </c>
      <c r="H926" s="2867">
        <f>SUM(H927,H930)</f>
        <v>0</v>
      </c>
      <c r="I926" s="2867">
        <f>SUM(I927,I930)</f>
        <v>0</v>
      </c>
      <c r="J926" s="2868">
        <f>SUM(J927,J930)</f>
        <v>0</v>
      </c>
    </row>
    <row r="927" spans="1:10" s="2864" customFormat="1" ht="15" hidden="1" customHeight="1">
      <c r="A927" s="3911"/>
      <c r="B927" s="3913"/>
      <c r="C927" s="3925"/>
      <c r="D927" s="3928"/>
      <c r="E927" s="2880" t="s">
        <v>1311</v>
      </c>
      <c r="F927" s="2881">
        <f>SUM(F928:F929)</f>
        <v>0</v>
      </c>
      <c r="G927" s="2881">
        <f>SUM(G928:G929)</f>
        <v>0</v>
      </c>
      <c r="H927" s="2881">
        <f>SUM(H928:H929)</f>
        <v>0</v>
      </c>
      <c r="I927" s="2881">
        <f>SUM(I928:I929)</f>
        <v>0</v>
      </c>
      <c r="J927" s="2882">
        <f>SUM(J928:J929)</f>
        <v>0</v>
      </c>
    </row>
    <row r="928" spans="1:10" s="2864" customFormat="1" ht="15" hidden="1" customHeight="1">
      <c r="A928" s="3911"/>
      <c r="B928" s="3913"/>
      <c r="C928" s="3925"/>
      <c r="D928" s="3928"/>
      <c r="E928" s="2869"/>
      <c r="F928" s="2870">
        <f>SUM(G928:J928)</f>
        <v>0</v>
      </c>
      <c r="G928" s="2870"/>
      <c r="H928" s="2870"/>
      <c r="I928" s="2870"/>
      <c r="J928" s="2871"/>
    </row>
    <row r="929" spans="1:10" s="2864" customFormat="1" ht="15" hidden="1" customHeight="1">
      <c r="A929" s="3911"/>
      <c r="B929" s="3913"/>
      <c r="C929" s="3925"/>
      <c r="D929" s="3928"/>
      <c r="E929" s="2869"/>
      <c r="F929" s="2870">
        <f>SUM(G929:J929)</f>
        <v>0</v>
      </c>
      <c r="G929" s="2870"/>
      <c r="H929" s="2870"/>
      <c r="I929" s="2870"/>
      <c r="J929" s="2871"/>
    </row>
    <row r="930" spans="1:10" s="2864" customFormat="1" ht="15" hidden="1" customHeight="1">
      <c r="A930" s="3911"/>
      <c r="B930" s="3913"/>
      <c r="C930" s="3925"/>
      <c r="D930" s="3928"/>
      <c r="E930" s="2880" t="s">
        <v>1312</v>
      </c>
      <c r="F930" s="2881">
        <f>SUM(F931:F932)</f>
        <v>0</v>
      </c>
      <c r="G930" s="2881">
        <f>SUM(G931:G932)</f>
        <v>0</v>
      </c>
      <c r="H930" s="2881">
        <f>SUM(H931:H932)</f>
        <v>0</v>
      </c>
      <c r="I930" s="2881">
        <f>SUM(I931:I932)</f>
        <v>0</v>
      </c>
      <c r="J930" s="2882">
        <f>SUM(J931:J932)</f>
        <v>0</v>
      </c>
    </row>
    <row r="931" spans="1:10" s="2864" customFormat="1" ht="15" hidden="1" customHeight="1">
      <c r="A931" s="3911"/>
      <c r="B931" s="3913"/>
      <c r="C931" s="3925"/>
      <c r="D931" s="3928"/>
      <c r="E931" s="2869"/>
      <c r="F931" s="2870">
        <f>SUM(G931:J931)</f>
        <v>0</v>
      </c>
      <c r="G931" s="2870"/>
      <c r="H931" s="2870"/>
      <c r="I931" s="2870"/>
      <c r="J931" s="2871"/>
    </row>
    <row r="932" spans="1:10" s="2864" customFormat="1" ht="15" hidden="1" customHeight="1">
      <c r="A932" s="3911"/>
      <c r="B932" s="3913"/>
      <c r="C932" s="3925"/>
      <c r="D932" s="3928"/>
      <c r="E932" s="2869"/>
      <c r="F932" s="2870">
        <f>SUM(G932:J932)</f>
        <v>0</v>
      </c>
      <c r="G932" s="2870"/>
      <c r="H932" s="2870"/>
      <c r="I932" s="2870"/>
      <c r="J932" s="2871"/>
    </row>
    <row r="933" spans="1:10" s="2864" customFormat="1" ht="15" customHeight="1">
      <c r="A933" s="3911"/>
      <c r="B933" s="3913"/>
      <c r="C933" s="3925"/>
      <c r="D933" s="3928"/>
      <c r="E933" s="2872" t="s">
        <v>1305</v>
      </c>
      <c r="F933" s="2867">
        <f>SUM(F934:F939)</f>
        <v>591399</v>
      </c>
      <c r="G933" s="2867">
        <f>SUM(G934:G939)</f>
        <v>100099</v>
      </c>
      <c r="H933" s="2867">
        <f>SUM(H934:H939)</f>
        <v>491300</v>
      </c>
      <c r="I933" s="2867">
        <f>SUM(I934:I939)</f>
        <v>0</v>
      </c>
      <c r="J933" s="2868">
        <f>SUM(J934:J939)</f>
        <v>0</v>
      </c>
    </row>
    <row r="934" spans="1:10" s="2864" customFormat="1" ht="15" customHeight="1">
      <c r="A934" s="3911"/>
      <c r="B934" s="3913"/>
      <c r="C934" s="3925"/>
      <c r="D934" s="3928"/>
      <c r="E934" s="2869" t="s">
        <v>821</v>
      </c>
      <c r="F934" s="2870">
        <f t="shared" ref="F934:F939" si="108">SUM(G934:J934)</f>
        <v>13399</v>
      </c>
      <c r="G934" s="2870">
        <v>13399</v>
      </c>
      <c r="H934" s="2870"/>
      <c r="I934" s="2870"/>
      <c r="J934" s="2871"/>
    </row>
    <row r="935" spans="1:10" s="2864" customFormat="1" ht="15" customHeight="1">
      <c r="A935" s="3911"/>
      <c r="B935" s="3913"/>
      <c r="C935" s="3925"/>
      <c r="D935" s="3928"/>
      <c r="E935" s="2874">
        <v>6057</v>
      </c>
      <c r="F935" s="2870">
        <f t="shared" si="108"/>
        <v>491300</v>
      </c>
      <c r="G935" s="2870"/>
      <c r="H935" s="2870">
        <v>491300</v>
      </c>
      <c r="I935" s="2870"/>
      <c r="J935" s="2871"/>
    </row>
    <row r="936" spans="1:10" s="2864" customFormat="1" ht="15" customHeight="1">
      <c r="A936" s="3920"/>
      <c r="B936" s="3937"/>
      <c r="C936" s="3926"/>
      <c r="D936" s="3929"/>
      <c r="E936" s="2874">
        <v>6059</v>
      </c>
      <c r="F936" s="2870">
        <f t="shared" si="108"/>
        <v>86700</v>
      </c>
      <c r="G936" s="2870">
        <v>86700</v>
      </c>
      <c r="H936" s="2870"/>
      <c r="I936" s="2870"/>
      <c r="J936" s="2871"/>
    </row>
    <row r="937" spans="1:10" s="2864" customFormat="1" ht="15" hidden="1" customHeight="1">
      <c r="A937" s="2917"/>
      <c r="B937" s="2918"/>
      <c r="C937" s="2920"/>
      <c r="D937" s="2919"/>
      <c r="E937" s="2874">
        <v>6060</v>
      </c>
      <c r="F937" s="2870">
        <f t="shared" si="108"/>
        <v>0</v>
      </c>
      <c r="G937" s="2870"/>
      <c r="H937" s="2870"/>
      <c r="I937" s="2870"/>
      <c r="J937" s="2871"/>
    </row>
    <row r="938" spans="1:10" s="2864" customFormat="1" ht="15" hidden="1" customHeight="1">
      <c r="A938" s="2917"/>
      <c r="B938" s="2918"/>
      <c r="C938" s="2920"/>
      <c r="D938" s="2919"/>
      <c r="E938" s="2869" t="s">
        <v>897</v>
      </c>
      <c r="F938" s="2870">
        <f t="shared" si="108"/>
        <v>0</v>
      </c>
      <c r="G938" s="2870"/>
      <c r="H938" s="2870"/>
      <c r="I938" s="2870"/>
      <c r="J938" s="2871"/>
    </row>
    <row r="939" spans="1:10" s="2864" customFormat="1" ht="15" hidden="1" customHeight="1">
      <c r="A939" s="2917"/>
      <c r="B939" s="2918"/>
      <c r="C939" s="2920"/>
      <c r="D939" s="2919"/>
      <c r="E939" s="2874">
        <v>6069</v>
      </c>
      <c r="F939" s="2870">
        <f t="shared" si="108"/>
        <v>0</v>
      </c>
      <c r="G939" s="2870"/>
      <c r="H939" s="2870"/>
      <c r="I939" s="2870"/>
      <c r="J939" s="2871"/>
    </row>
    <row r="940" spans="1:10" s="2864" customFormat="1" ht="15" hidden="1" customHeight="1">
      <c r="A940" s="3952" t="s">
        <v>1330</v>
      </c>
      <c r="B940" s="3953" t="s">
        <v>1390</v>
      </c>
      <c r="C940" s="3954">
        <v>600</v>
      </c>
      <c r="D940" s="3955" t="s">
        <v>926</v>
      </c>
      <c r="E940" s="2898" t="s">
        <v>1304</v>
      </c>
      <c r="F940" s="2899">
        <f>SUM(F941,F948)</f>
        <v>0</v>
      </c>
      <c r="G940" s="2899">
        <f>SUM(G941,G948)</f>
        <v>0</v>
      </c>
      <c r="H940" s="2899">
        <f>SUM(H941,H948)</f>
        <v>0</v>
      </c>
      <c r="I940" s="2899">
        <f>SUM(I941,I948)</f>
        <v>0</v>
      </c>
      <c r="J940" s="2900">
        <f>SUM(J941,J948)</f>
        <v>0</v>
      </c>
    </row>
    <row r="941" spans="1:10" s="2864" customFormat="1" ht="15" hidden="1" customHeight="1">
      <c r="A941" s="3952"/>
      <c r="B941" s="3953"/>
      <c r="C941" s="3954"/>
      <c r="D941" s="3955"/>
      <c r="E941" s="2901" t="s">
        <v>1017</v>
      </c>
      <c r="F941" s="2902">
        <f>SUM(F942,F945)</f>
        <v>0</v>
      </c>
      <c r="G941" s="2902">
        <f>SUM(G942,G945)</f>
        <v>0</v>
      </c>
      <c r="H941" s="2902">
        <f>SUM(H942,H945)</f>
        <v>0</v>
      </c>
      <c r="I941" s="2902">
        <f>SUM(I942,I945)</f>
        <v>0</v>
      </c>
      <c r="J941" s="2903">
        <f>SUM(J942,J945)</f>
        <v>0</v>
      </c>
    </row>
    <row r="942" spans="1:10" s="2864" customFormat="1" ht="15" hidden="1" customHeight="1">
      <c r="A942" s="3952"/>
      <c r="B942" s="3953"/>
      <c r="C942" s="3954"/>
      <c r="D942" s="3955"/>
      <c r="E942" s="2904" t="s">
        <v>1311</v>
      </c>
      <c r="F942" s="2905">
        <f>SUM(F943:F944)</f>
        <v>0</v>
      </c>
      <c r="G942" s="2905">
        <f>SUM(G943:G944)</f>
        <v>0</v>
      </c>
      <c r="H942" s="2905">
        <f>SUM(H943:H944)</f>
        <v>0</v>
      </c>
      <c r="I942" s="2905">
        <f>SUM(I943:I944)</f>
        <v>0</v>
      </c>
      <c r="J942" s="2906">
        <f>SUM(J943:J944)</f>
        <v>0</v>
      </c>
    </row>
    <row r="943" spans="1:10" s="2864" customFormat="1" ht="15" hidden="1" customHeight="1">
      <c r="A943" s="3952"/>
      <c r="B943" s="3953"/>
      <c r="C943" s="3954"/>
      <c r="D943" s="3955"/>
      <c r="E943" s="2895"/>
      <c r="F943" s="2896">
        <f>SUM(G943:J943)</f>
        <v>0</v>
      </c>
      <c r="G943" s="2896"/>
      <c r="H943" s="2896"/>
      <c r="I943" s="2896"/>
      <c r="J943" s="2897"/>
    </row>
    <row r="944" spans="1:10" s="2864" customFormat="1" ht="15" hidden="1" customHeight="1">
      <c r="A944" s="3952"/>
      <c r="B944" s="3953"/>
      <c r="C944" s="3954"/>
      <c r="D944" s="3955"/>
      <c r="E944" s="2895"/>
      <c r="F944" s="2896">
        <f>SUM(G944:J944)</f>
        <v>0</v>
      </c>
      <c r="G944" s="2896"/>
      <c r="H944" s="2896"/>
      <c r="I944" s="2896"/>
      <c r="J944" s="2897"/>
    </row>
    <row r="945" spans="1:10" s="2864" customFormat="1" ht="15" hidden="1" customHeight="1">
      <c r="A945" s="3952"/>
      <c r="B945" s="3953"/>
      <c r="C945" s="3954"/>
      <c r="D945" s="3955"/>
      <c r="E945" s="2904" t="s">
        <v>1312</v>
      </c>
      <c r="F945" s="2905">
        <f>SUM(F946:F947)</f>
        <v>0</v>
      </c>
      <c r="G945" s="2905">
        <f>SUM(G946:G947)</f>
        <v>0</v>
      </c>
      <c r="H945" s="2905">
        <f>SUM(H946:H947)</f>
        <v>0</v>
      </c>
      <c r="I945" s="2905">
        <f>SUM(I946:I947)</f>
        <v>0</v>
      </c>
      <c r="J945" s="2906">
        <f>SUM(J946:J947)</f>
        <v>0</v>
      </c>
    </row>
    <row r="946" spans="1:10" s="2864" customFormat="1" ht="15" hidden="1" customHeight="1">
      <c r="A946" s="3952"/>
      <c r="B946" s="3953"/>
      <c r="C946" s="3954"/>
      <c r="D946" s="3955"/>
      <c r="E946" s="2895"/>
      <c r="F946" s="2896">
        <f>SUM(G946:J946)</f>
        <v>0</v>
      </c>
      <c r="G946" s="2896"/>
      <c r="H946" s="2896"/>
      <c r="I946" s="2896"/>
      <c r="J946" s="2897"/>
    </row>
    <row r="947" spans="1:10" s="2864" customFormat="1" ht="15" hidden="1" customHeight="1">
      <c r="A947" s="3952"/>
      <c r="B947" s="3953"/>
      <c r="C947" s="3954"/>
      <c r="D947" s="3955"/>
      <c r="E947" s="2895"/>
      <c r="F947" s="2896">
        <f>SUM(G947:J947)</f>
        <v>0</v>
      </c>
      <c r="G947" s="2896"/>
      <c r="H947" s="2896"/>
      <c r="I947" s="2896"/>
      <c r="J947" s="2897"/>
    </row>
    <row r="948" spans="1:10" s="2864" customFormat="1" ht="15" hidden="1" customHeight="1">
      <c r="A948" s="3952"/>
      <c r="B948" s="3953"/>
      <c r="C948" s="3954"/>
      <c r="D948" s="3955"/>
      <c r="E948" s="2907" t="s">
        <v>1305</v>
      </c>
      <c r="F948" s="2902">
        <f>SUM(F949:F954)</f>
        <v>0</v>
      </c>
      <c r="G948" s="2902">
        <f>SUM(G949:G954)</f>
        <v>0</v>
      </c>
      <c r="H948" s="2902">
        <f>SUM(H949:H954)</f>
        <v>0</v>
      </c>
      <c r="I948" s="2902">
        <f>SUM(I949:I954)</f>
        <v>0</v>
      </c>
      <c r="J948" s="2903">
        <f>SUM(J949:J954)</f>
        <v>0</v>
      </c>
    </row>
    <row r="949" spans="1:10" s="2864" customFormat="1" ht="15" hidden="1" customHeight="1">
      <c r="A949" s="3952"/>
      <c r="B949" s="3953"/>
      <c r="C949" s="3954"/>
      <c r="D949" s="3955"/>
      <c r="E949" s="2895" t="s">
        <v>821</v>
      </c>
      <c r="F949" s="2896">
        <f t="shared" ref="F949:F954" si="109">SUM(G949:J949)</f>
        <v>0</v>
      </c>
      <c r="G949" s="2896"/>
      <c r="H949" s="2896"/>
      <c r="I949" s="2896"/>
      <c r="J949" s="2897"/>
    </row>
    <row r="950" spans="1:10" s="2864" customFormat="1" ht="15" hidden="1" customHeight="1">
      <c r="A950" s="3952"/>
      <c r="B950" s="3953"/>
      <c r="C950" s="3954"/>
      <c r="D950" s="3955"/>
      <c r="E950" s="2916">
        <v>6057</v>
      </c>
      <c r="F950" s="2896">
        <f t="shared" si="109"/>
        <v>0</v>
      </c>
      <c r="G950" s="2896"/>
      <c r="H950" s="2896"/>
      <c r="I950" s="2896"/>
      <c r="J950" s="2897"/>
    </row>
    <row r="951" spans="1:10" s="2864" customFormat="1" ht="15" hidden="1" customHeight="1">
      <c r="A951" s="3952"/>
      <c r="B951" s="3953"/>
      <c r="C951" s="3954"/>
      <c r="D951" s="3955"/>
      <c r="E951" s="2916">
        <v>6059</v>
      </c>
      <c r="F951" s="2896">
        <f t="shared" si="109"/>
        <v>0</v>
      </c>
      <c r="G951" s="2896"/>
      <c r="H951" s="2896"/>
      <c r="I951" s="2896"/>
      <c r="J951" s="2897"/>
    </row>
    <row r="952" spans="1:10" s="2864" customFormat="1" ht="15" hidden="1" customHeight="1">
      <c r="A952" s="3952"/>
      <c r="B952" s="3953"/>
      <c r="C952" s="3954"/>
      <c r="D952" s="3955"/>
      <c r="E952" s="2916">
        <v>6060</v>
      </c>
      <c r="F952" s="2896">
        <f t="shared" si="109"/>
        <v>0</v>
      </c>
      <c r="G952" s="2896"/>
      <c r="H952" s="2896"/>
      <c r="I952" s="2896"/>
      <c r="J952" s="2897"/>
    </row>
    <row r="953" spans="1:10" s="2864" customFormat="1" ht="15" hidden="1" customHeight="1">
      <c r="A953" s="3952"/>
      <c r="B953" s="3953"/>
      <c r="C953" s="3954"/>
      <c r="D953" s="3955"/>
      <c r="E953" s="2895" t="s">
        <v>897</v>
      </c>
      <c r="F953" s="2896">
        <f t="shared" si="109"/>
        <v>0</v>
      </c>
      <c r="G953" s="2896"/>
      <c r="H953" s="2896"/>
      <c r="I953" s="2896"/>
      <c r="J953" s="2897"/>
    </row>
    <row r="954" spans="1:10" s="2864" customFormat="1" ht="15" hidden="1" customHeight="1">
      <c r="A954" s="3952"/>
      <c r="B954" s="3953"/>
      <c r="C954" s="3954"/>
      <c r="D954" s="3955"/>
      <c r="E954" s="2916">
        <v>6069</v>
      </c>
      <c r="F954" s="2896">
        <f t="shared" si="109"/>
        <v>0</v>
      </c>
      <c r="G954" s="2896"/>
      <c r="H954" s="2896"/>
      <c r="I954" s="2896"/>
      <c r="J954" s="2897"/>
    </row>
    <row r="955" spans="1:10" s="2864" customFormat="1" ht="15" hidden="1" customHeight="1">
      <c r="A955" s="3952" t="s">
        <v>1332</v>
      </c>
      <c r="B955" s="3953" t="s">
        <v>1391</v>
      </c>
      <c r="C955" s="3954">
        <v>600</v>
      </c>
      <c r="D955" s="3955" t="s">
        <v>926</v>
      </c>
      <c r="E955" s="2898" t="s">
        <v>1304</v>
      </c>
      <c r="F955" s="2899">
        <f>SUM(F956,F963)</f>
        <v>0</v>
      </c>
      <c r="G955" s="2899">
        <f>SUM(G956,G963)</f>
        <v>0</v>
      </c>
      <c r="H955" s="2899">
        <f>SUM(H956,H963)</f>
        <v>0</v>
      </c>
      <c r="I955" s="2899">
        <f>SUM(I956,I963)</f>
        <v>0</v>
      </c>
      <c r="J955" s="2900">
        <f>SUM(J956,J963)</f>
        <v>0</v>
      </c>
    </row>
    <row r="956" spans="1:10" s="2864" customFormat="1" ht="15" hidden="1" customHeight="1">
      <c r="A956" s="3952"/>
      <c r="B956" s="3953"/>
      <c r="C956" s="3954"/>
      <c r="D956" s="3955"/>
      <c r="E956" s="2901" t="s">
        <v>1017</v>
      </c>
      <c r="F956" s="2902">
        <f>SUM(F957,F960)</f>
        <v>0</v>
      </c>
      <c r="G956" s="2902">
        <f>SUM(G957,G960)</f>
        <v>0</v>
      </c>
      <c r="H956" s="2902">
        <f>SUM(H957,H960)</f>
        <v>0</v>
      </c>
      <c r="I956" s="2902">
        <f>SUM(I957,I960)</f>
        <v>0</v>
      </c>
      <c r="J956" s="2903">
        <f>SUM(J957,J960)</f>
        <v>0</v>
      </c>
    </row>
    <row r="957" spans="1:10" s="2864" customFormat="1" ht="15" hidden="1" customHeight="1">
      <c r="A957" s="3952"/>
      <c r="B957" s="3953"/>
      <c r="C957" s="3954"/>
      <c r="D957" s="3955"/>
      <c r="E957" s="2904" t="s">
        <v>1311</v>
      </c>
      <c r="F957" s="2905">
        <f>SUM(F958:F959)</f>
        <v>0</v>
      </c>
      <c r="G957" s="2905">
        <f>SUM(G958:G959)</f>
        <v>0</v>
      </c>
      <c r="H957" s="2905">
        <f>SUM(H958:H959)</f>
        <v>0</v>
      </c>
      <c r="I957" s="2905">
        <f>SUM(I958:I959)</f>
        <v>0</v>
      </c>
      <c r="J957" s="2906">
        <f>SUM(J958:J959)</f>
        <v>0</v>
      </c>
    </row>
    <row r="958" spans="1:10" s="2864" customFormat="1" ht="15" hidden="1" customHeight="1">
      <c r="A958" s="3952"/>
      <c r="B958" s="3953"/>
      <c r="C958" s="3954"/>
      <c r="D958" s="3955"/>
      <c r="E958" s="2895"/>
      <c r="F958" s="2896">
        <f>SUM(G958:J958)</f>
        <v>0</v>
      </c>
      <c r="G958" s="2896"/>
      <c r="H958" s="2896"/>
      <c r="I958" s="2896"/>
      <c r="J958" s="2897"/>
    </row>
    <row r="959" spans="1:10" s="2864" customFormat="1" ht="15" hidden="1" customHeight="1">
      <c r="A959" s="3952"/>
      <c r="B959" s="3953"/>
      <c r="C959" s="3954"/>
      <c r="D959" s="3955"/>
      <c r="E959" s="2895"/>
      <c r="F959" s="2896">
        <f>SUM(G959:J959)</f>
        <v>0</v>
      </c>
      <c r="G959" s="2896"/>
      <c r="H959" s="2896"/>
      <c r="I959" s="2896"/>
      <c r="J959" s="2897"/>
    </row>
    <row r="960" spans="1:10" s="2864" customFormat="1" ht="15" hidden="1" customHeight="1">
      <c r="A960" s="3952"/>
      <c r="B960" s="3953"/>
      <c r="C960" s="3954"/>
      <c r="D960" s="3955"/>
      <c r="E960" s="2904" t="s">
        <v>1312</v>
      </c>
      <c r="F960" s="2905">
        <f>SUM(F961:F962)</f>
        <v>0</v>
      </c>
      <c r="G960" s="2905">
        <f>SUM(G961:G962)</f>
        <v>0</v>
      </c>
      <c r="H960" s="2905">
        <f>SUM(H961:H962)</f>
        <v>0</v>
      </c>
      <c r="I960" s="2905">
        <f>SUM(I961:I962)</f>
        <v>0</v>
      </c>
      <c r="J960" s="2906">
        <f>SUM(J961:J962)</f>
        <v>0</v>
      </c>
    </row>
    <row r="961" spans="1:10" s="2864" customFormat="1" ht="15" hidden="1" customHeight="1">
      <c r="A961" s="3952"/>
      <c r="B961" s="3953"/>
      <c r="C961" s="3954"/>
      <c r="D961" s="3955"/>
      <c r="E961" s="2895"/>
      <c r="F961" s="2896">
        <f>SUM(G961:J961)</f>
        <v>0</v>
      </c>
      <c r="G961" s="2896"/>
      <c r="H961" s="2896"/>
      <c r="I961" s="2896"/>
      <c r="J961" s="2897"/>
    </row>
    <row r="962" spans="1:10" s="2864" customFormat="1" ht="15" hidden="1" customHeight="1">
      <c r="A962" s="3952"/>
      <c r="B962" s="3953"/>
      <c r="C962" s="3954"/>
      <c r="D962" s="3955"/>
      <c r="E962" s="2895"/>
      <c r="F962" s="2896">
        <f>SUM(G962:J962)</f>
        <v>0</v>
      </c>
      <c r="G962" s="2896"/>
      <c r="H962" s="2896"/>
      <c r="I962" s="2896"/>
      <c r="J962" s="2897"/>
    </row>
    <row r="963" spans="1:10" s="2864" customFormat="1" ht="15" hidden="1" customHeight="1">
      <c r="A963" s="3952"/>
      <c r="B963" s="3953"/>
      <c r="C963" s="3954"/>
      <c r="D963" s="3955"/>
      <c r="E963" s="2907" t="s">
        <v>1305</v>
      </c>
      <c r="F963" s="2902">
        <f>SUM(F964:F969)</f>
        <v>0</v>
      </c>
      <c r="G963" s="2902">
        <f>SUM(G964:G969)</f>
        <v>0</v>
      </c>
      <c r="H963" s="2902">
        <f>SUM(H964:H969)</f>
        <v>0</v>
      </c>
      <c r="I963" s="2902">
        <f>SUM(I964:I969)</f>
        <v>0</v>
      </c>
      <c r="J963" s="2903">
        <f>SUM(J964:J969)</f>
        <v>0</v>
      </c>
    </row>
    <row r="964" spans="1:10" s="2864" customFormat="1" ht="15" hidden="1" customHeight="1">
      <c r="A964" s="3952"/>
      <c r="B964" s="3953"/>
      <c r="C964" s="3954"/>
      <c r="D964" s="3955"/>
      <c r="E964" s="2895" t="s">
        <v>821</v>
      </c>
      <c r="F964" s="2896">
        <f t="shared" ref="F964:F969" si="110">SUM(G964:J964)</f>
        <v>0</v>
      </c>
      <c r="G964" s="2896"/>
      <c r="H964" s="2896"/>
      <c r="I964" s="2896"/>
      <c r="J964" s="2897"/>
    </row>
    <row r="965" spans="1:10" s="2864" customFormat="1" ht="15" hidden="1" customHeight="1">
      <c r="A965" s="3952"/>
      <c r="B965" s="3953"/>
      <c r="C965" s="3954"/>
      <c r="D965" s="3955"/>
      <c r="E965" s="2916">
        <v>6057</v>
      </c>
      <c r="F965" s="2896">
        <f t="shared" si="110"/>
        <v>0</v>
      </c>
      <c r="G965" s="2896"/>
      <c r="H965" s="2896"/>
      <c r="I965" s="2896"/>
      <c r="J965" s="2897"/>
    </row>
    <row r="966" spans="1:10" s="2864" customFormat="1" ht="15" hidden="1" customHeight="1">
      <c r="A966" s="3952"/>
      <c r="B966" s="3953"/>
      <c r="C966" s="3954"/>
      <c r="D966" s="3955"/>
      <c r="E966" s="2916">
        <v>6059</v>
      </c>
      <c r="F966" s="2896">
        <f t="shared" si="110"/>
        <v>0</v>
      </c>
      <c r="G966" s="2896"/>
      <c r="H966" s="2896"/>
      <c r="I966" s="2896"/>
      <c r="J966" s="2897"/>
    </row>
    <row r="967" spans="1:10" s="2864" customFormat="1" ht="15" hidden="1" customHeight="1">
      <c r="A967" s="3952"/>
      <c r="B967" s="3953"/>
      <c r="C967" s="3954"/>
      <c r="D967" s="3955"/>
      <c r="E967" s="2916">
        <v>6060</v>
      </c>
      <c r="F967" s="2896">
        <f t="shared" si="110"/>
        <v>0</v>
      </c>
      <c r="G967" s="2896"/>
      <c r="H967" s="2896"/>
      <c r="I967" s="2896"/>
      <c r="J967" s="2897"/>
    </row>
    <row r="968" spans="1:10" s="2864" customFormat="1" ht="15" hidden="1" customHeight="1">
      <c r="A968" s="3952"/>
      <c r="B968" s="3953"/>
      <c r="C968" s="3954"/>
      <c r="D968" s="3955"/>
      <c r="E968" s="2895" t="s">
        <v>897</v>
      </c>
      <c r="F968" s="2896">
        <f t="shared" si="110"/>
        <v>0</v>
      </c>
      <c r="G968" s="2896"/>
      <c r="H968" s="2896"/>
      <c r="I968" s="2896"/>
      <c r="J968" s="2897"/>
    </row>
    <row r="969" spans="1:10" s="2864" customFormat="1" ht="15" hidden="1" customHeight="1">
      <c r="A969" s="3952"/>
      <c r="B969" s="3953"/>
      <c r="C969" s="3954"/>
      <c r="D969" s="3955"/>
      <c r="E969" s="2916">
        <v>6069</v>
      </c>
      <c r="F969" s="2896">
        <f t="shared" si="110"/>
        <v>0</v>
      </c>
      <c r="G969" s="2896"/>
      <c r="H969" s="2896"/>
      <c r="I969" s="2896"/>
      <c r="J969" s="2897"/>
    </row>
    <row r="970" spans="1:10" s="2864" customFormat="1" ht="15" hidden="1" customHeight="1">
      <c r="A970" s="3952" t="s">
        <v>1332</v>
      </c>
      <c r="B970" s="3953" t="s">
        <v>1392</v>
      </c>
      <c r="C970" s="3954">
        <v>600</v>
      </c>
      <c r="D970" s="3955" t="s">
        <v>926</v>
      </c>
      <c r="E970" s="2898" t="s">
        <v>1304</v>
      </c>
      <c r="F970" s="2899">
        <f>SUM(F971,F978)</f>
        <v>0</v>
      </c>
      <c r="G970" s="2899">
        <f>SUM(G971,G978)</f>
        <v>0</v>
      </c>
      <c r="H970" s="2899">
        <f>SUM(H971,H978)</f>
        <v>0</v>
      </c>
      <c r="I970" s="2899">
        <f>SUM(I971,I978)</f>
        <v>0</v>
      </c>
      <c r="J970" s="2900">
        <f>SUM(J971,J978)</f>
        <v>0</v>
      </c>
    </row>
    <row r="971" spans="1:10" s="2864" customFormat="1" ht="15" hidden="1" customHeight="1">
      <c r="A971" s="3952"/>
      <c r="B971" s="3953"/>
      <c r="C971" s="3954"/>
      <c r="D971" s="3955"/>
      <c r="E971" s="2901" t="s">
        <v>1017</v>
      </c>
      <c r="F971" s="2902">
        <f>SUM(F972,F975)</f>
        <v>0</v>
      </c>
      <c r="G971" s="2902">
        <f>SUM(G972,G975)</f>
        <v>0</v>
      </c>
      <c r="H971" s="2902">
        <f>SUM(H972,H975)</f>
        <v>0</v>
      </c>
      <c r="I971" s="2902">
        <f>SUM(I972,I975)</f>
        <v>0</v>
      </c>
      <c r="J971" s="2903">
        <f>SUM(J972,J975)</f>
        <v>0</v>
      </c>
    </row>
    <row r="972" spans="1:10" s="2864" customFormat="1" ht="15" hidden="1" customHeight="1">
      <c r="A972" s="3952"/>
      <c r="B972" s="3953"/>
      <c r="C972" s="3954"/>
      <c r="D972" s="3955"/>
      <c r="E972" s="2904" t="s">
        <v>1311</v>
      </c>
      <c r="F972" s="2905">
        <f>SUM(F973:F974)</f>
        <v>0</v>
      </c>
      <c r="G972" s="2905">
        <f>SUM(G973:G974)</f>
        <v>0</v>
      </c>
      <c r="H972" s="2905">
        <f>SUM(H973:H974)</f>
        <v>0</v>
      </c>
      <c r="I972" s="2905">
        <f>SUM(I973:I974)</f>
        <v>0</v>
      </c>
      <c r="J972" s="2906">
        <f>SUM(J973:J974)</f>
        <v>0</v>
      </c>
    </row>
    <row r="973" spans="1:10" s="2864" customFormat="1" ht="15" hidden="1" customHeight="1">
      <c r="A973" s="3952"/>
      <c r="B973" s="3953"/>
      <c r="C973" s="3954"/>
      <c r="D973" s="3955"/>
      <c r="E973" s="2895"/>
      <c r="F973" s="2896">
        <f>SUM(G973:J973)</f>
        <v>0</v>
      </c>
      <c r="G973" s="2896"/>
      <c r="H973" s="2896"/>
      <c r="I973" s="2896"/>
      <c r="J973" s="2897"/>
    </row>
    <row r="974" spans="1:10" s="2864" customFormat="1" ht="15" hidden="1" customHeight="1">
      <c r="A974" s="3952"/>
      <c r="B974" s="3953"/>
      <c r="C974" s="3954"/>
      <c r="D974" s="3955"/>
      <c r="E974" s="2895"/>
      <c r="F974" s="2896">
        <f>SUM(G974:J974)</f>
        <v>0</v>
      </c>
      <c r="G974" s="2896"/>
      <c r="H974" s="2896"/>
      <c r="I974" s="2896"/>
      <c r="J974" s="2897"/>
    </row>
    <row r="975" spans="1:10" s="2864" customFormat="1" ht="15" hidden="1" customHeight="1">
      <c r="A975" s="3952"/>
      <c r="B975" s="3953"/>
      <c r="C975" s="3954"/>
      <c r="D975" s="3955"/>
      <c r="E975" s="2904" t="s">
        <v>1312</v>
      </c>
      <c r="F975" s="2905">
        <f>SUM(F976:F977)</f>
        <v>0</v>
      </c>
      <c r="G975" s="2905">
        <f>SUM(G976:G977)</f>
        <v>0</v>
      </c>
      <c r="H975" s="2905">
        <f>SUM(H976:H977)</f>
        <v>0</v>
      </c>
      <c r="I975" s="2905">
        <f>SUM(I976:I977)</f>
        <v>0</v>
      </c>
      <c r="J975" s="2906">
        <f>SUM(J976:J977)</f>
        <v>0</v>
      </c>
    </row>
    <row r="976" spans="1:10" s="2864" customFormat="1" ht="15" hidden="1" customHeight="1">
      <c r="A976" s="3952"/>
      <c r="B976" s="3953"/>
      <c r="C976" s="3954"/>
      <c r="D976" s="3955"/>
      <c r="E976" s="2895"/>
      <c r="F976" s="2896">
        <f>SUM(G976:J976)</f>
        <v>0</v>
      </c>
      <c r="G976" s="2896"/>
      <c r="H976" s="2896"/>
      <c r="I976" s="2896"/>
      <c r="J976" s="2897"/>
    </row>
    <row r="977" spans="1:10" s="2864" customFormat="1" ht="15" hidden="1" customHeight="1">
      <c r="A977" s="3952"/>
      <c r="B977" s="3953"/>
      <c r="C977" s="3954"/>
      <c r="D977" s="3955"/>
      <c r="E977" s="2895"/>
      <c r="F977" s="2896">
        <f>SUM(G977:J977)</f>
        <v>0</v>
      </c>
      <c r="G977" s="2896"/>
      <c r="H977" s="2896"/>
      <c r="I977" s="2896"/>
      <c r="J977" s="2897"/>
    </row>
    <row r="978" spans="1:10" s="2864" customFormat="1" ht="15" hidden="1" customHeight="1">
      <c r="A978" s="3952"/>
      <c r="B978" s="3953"/>
      <c r="C978" s="3954"/>
      <c r="D978" s="3955"/>
      <c r="E978" s="2907" t="s">
        <v>1305</v>
      </c>
      <c r="F978" s="2902">
        <f>SUM(F979:F984)</f>
        <v>0</v>
      </c>
      <c r="G978" s="2902">
        <f>SUM(G979:G984)</f>
        <v>0</v>
      </c>
      <c r="H978" s="2902">
        <f>SUM(H979:H984)</f>
        <v>0</v>
      </c>
      <c r="I978" s="2902">
        <f>SUM(I979:I984)</f>
        <v>0</v>
      </c>
      <c r="J978" s="2903">
        <f>SUM(J979:J984)</f>
        <v>0</v>
      </c>
    </row>
    <row r="979" spans="1:10" s="2864" customFormat="1" ht="15" hidden="1" customHeight="1">
      <c r="A979" s="3952"/>
      <c r="B979" s="3953"/>
      <c r="C979" s="3954"/>
      <c r="D979" s="3955"/>
      <c r="E979" s="2895" t="s">
        <v>821</v>
      </c>
      <c r="F979" s="2896">
        <f t="shared" ref="F979:F984" si="111">SUM(G979:J979)</f>
        <v>0</v>
      </c>
      <c r="G979" s="2896"/>
      <c r="H979" s="2896"/>
      <c r="I979" s="2896"/>
      <c r="J979" s="2897"/>
    </row>
    <row r="980" spans="1:10" s="2864" customFormat="1" ht="15" hidden="1" customHeight="1">
      <c r="A980" s="3952"/>
      <c r="B980" s="3953"/>
      <c r="C980" s="3954"/>
      <c r="D980" s="3955"/>
      <c r="E980" s="2916">
        <v>6057</v>
      </c>
      <c r="F980" s="2896">
        <f t="shared" si="111"/>
        <v>0</v>
      </c>
      <c r="G980" s="2896"/>
      <c r="H980" s="2896"/>
      <c r="I980" s="2896"/>
      <c r="J980" s="2897"/>
    </row>
    <row r="981" spans="1:10" s="2864" customFormat="1" ht="15" hidden="1" customHeight="1">
      <c r="A981" s="3952"/>
      <c r="B981" s="3953"/>
      <c r="C981" s="3954"/>
      <c r="D981" s="3955"/>
      <c r="E981" s="2916">
        <v>6059</v>
      </c>
      <c r="F981" s="2896">
        <f t="shared" si="111"/>
        <v>0</v>
      </c>
      <c r="G981" s="2896"/>
      <c r="H981" s="2896"/>
      <c r="I981" s="2896"/>
      <c r="J981" s="2897"/>
    </row>
    <row r="982" spans="1:10" s="2864" customFormat="1" ht="15" hidden="1" customHeight="1">
      <c r="A982" s="3952"/>
      <c r="B982" s="3953"/>
      <c r="C982" s="3954"/>
      <c r="D982" s="3955"/>
      <c r="E982" s="2916">
        <v>6060</v>
      </c>
      <c r="F982" s="2896">
        <f t="shared" si="111"/>
        <v>0</v>
      </c>
      <c r="G982" s="2896"/>
      <c r="H982" s="2896"/>
      <c r="I982" s="2896"/>
      <c r="J982" s="2897"/>
    </row>
    <row r="983" spans="1:10" s="2864" customFormat="1" ht="15" hidden="1" customHeight="1">
      <c r="A983" s="3952"/>
      <c r="B983" s="3953"/>
      <c r="C983" s="3954"/>
      <c r="D983" s="3955"/>
      <c r="E983" s="2895" t="s">
        <v>897</v>
      </c>
      <c r="F983" s="2896">
        <f t="shared" si="111"/>
        <v>0</v>
      </c>
      <c r="G983" s="2896"/>
      <c r="H983" s="2896"/>
      <c r="I983" s="2896"/>
      <c r="J983" s="2897"/>
    </row>
    <row r="984" spans="1:10" s="2864" customFormat="1" ht="15" hidden="1" customHeight="1">
      <c r="A984" s="3952"/>
      <c r="B984" s="3953"/>
      <c r="C984" s="3954"/>
      <c r="D984" s="3955"/>
      <c r="E984" s="2916">
        <v>6069</v>
      </c>
      <c r="F984" s="2896">
        <f t="shared" si="111"/>
        <v>0</v>
      </c>
      <c r="G984" s="2896"/>
      <c r="H984" s="2896"/>
      <c r="I984" s="2896"/>
      <c r="J984" s="2897"/>
    </row>
    <row r="985" spans="1:10" s="2864" customFormat="1" ht="22.5">
      <c r="A985" s="3934" t="s">
        <v>1322</v>
      </c>
      <c r="B985" s="3935" t="s">
        <v>1393</v>
      </c>
      <c r="C985" s="3936">
        <v>600</v>
      </c>
      <c r="D985" s="3939" t="s">
        <v>926</v>
      </c>
      <c r="E985" s="2861" t="s">
        <v>1304</v>
      </c>
      <c r="F985" s="2862">
        <f>SUM(F986,F993)</f>
        <v>68300000</v>
      </c>
      <c r="G985" s="2862">
        <f>SUM(G986,G993)</f>
        <v>11945000</v>
      </c>
      <c r="H985" s="2862">
        <f>SUM(H986,H993)</f>
        <v>56355000</v>
      </c>
      <c r="I985" s="2862">
        <f>SUM(I986,I993)</f>
        <v>0</v>
      </c>
      <c r="J985" s="2863">
        <f>SUM(J986,J993)</f>
        <v>0</v>
      </c>
    </row>
    <row r="986" spans="1:10" s="2864" customFormat="1" ht="15" customHeight="1">
      <c r="A986" s="3934"/>
      <c r="B986" s="3935"/>
      <c r="C986" s="3936"/>
      <c r="D986" s="3939"/>
      <c r="E986" s="2866" t="s">
        <v>1017</v>
      </c>
      <c r="F986" s="2867">
        <f>SUM(F987,F990)</f>
        <v>0</v>
      </c>
      <c r="G986" s="2867">
        <f>SUM(G987,G990)</f>
        <v>0</v>
      </c>
      <c r="H986" s="2867">
        <f>SUM(H987,H990)</f>
        <v>0</v>
      </c>
      <c r="I986" s="2867">
        <f>SUM(I987,I990)</f>
        <v>0</v>
      </c>
      <c r="J986" s="2868">
        <f>SUM(J987,J990)</f>
        <v>0</v>
      </c>
    </row>
    <row r="987" spans="1:10" s="2864" customFormat="1" ht="15" hidden="1" customHeight="1">
      <c r="A987" s="3934"/>
      <c r="B987" s="3935"/>
      <c r="C987" s="3936"/>
      <c r="D987" s="3939"/>
      <c r="E987" s="2880" t="s">
        <v>1311</v>
      </c>
      <c r="F987" s="2881">
        <f>SUM(F988:F989)</f>
        <v>0</v>
      </c>
      <c r="G987" s="2881">
        <f>SUM(G988:G989)</f>
        <v>0</v>
      </c>
      <c r="H987" s="2881">
        <f>SUM(H988:H989)</f>
        <v>0</v>
      </c>
      <c r="I987" s="2881">
        <f>SUM(I988:I989)</f>
        <v>0</v>
      </c>
      <c r="J987" s="2882">
        <f>SUM(J988:J989)</f>
        <v>0</v>
      </c>
    </row>
    <row r="988" spans="1:10" s="2864" customFormat="1" ht="15" hidden="1" customHeight="1">
      <c r="A988" s="3934"/>
      <c r="B988" s="3935"/>
      <c r="C988" s="3936"/>
      <c r="D988" s="3939"/>
      <c r="E988" s="2869"/>
      <c r="F988" s="2870">
        <f>SUM(G988:J988)</f>
        <v>0</v>
      </c>
      <c r="G988" s="2870"/>
      <c r="H988" s="2870"/>
      <c r="I988" s="2870"/>
      <c r="J988" s="2871"/>
    </row>
    <row r="989" spans="1:10" s="2864" customFormat="1" ht="15" hidden="1" customHeight="1">
      <c r="A989" s="3934"/>
      <c r="B989" s="3935"/>
      <c r="C989" s="3936"/>
      <c r="D989" s="3939"/>
      <c r="E989" s="2869"/>
      <c r="F989" s="2870">
        <f>SUM(G989:J989)</f>
        <v>0</v>
      </c>
      <c r="G989" s="2870"/>
      <c r="H989" s="2870"/>
      <c r="I989" s="2870"/>
      <c r="J989" s="2871"/>
    </row>
    <row r="990" spans="1:10" s="2864" customFormat="1" ht="15" hidden="1" customHeight="1">
      <c r="A990" s="3934"/>
      <c r="B990" s="3935"/>
      <c r="C990" s="3936"/>
      <c r="D990" s="3939"/>
      <c r="E990" s="2880" t="s">
        <v>1312</v>
      </c>
      <c r="F990" s="2881">
        <f>SUM(F991:F992)</f>
        <v>0</v>
      </c>
      <c r="G990" s="2881">
        <f>SUM(G991:G992)</f>
        <v>0</v>
      </c>
      <c r="H990" s="2881">
        <f>SUM(H991:H992)</f>
        <v>0</v>
      </c>
      <c r="I990" s="2881">
        <f>SUM(I991:I992)</f>
        <v>0</v>
      </c>
      <c r="J990" s="2882">
        <f>SUM(J991:J992)</f>
        <v>0</v>
      </c>
    </row>
    <row r="991" spans="1:10" s="2864" customFormat="1" ht="15" hidden="1" customHeight="1">
      <c r="A991" s="3934"/>
      <c r="B991" s="3935"/>
      <c r="C991" s="3936"/>
      <c r="D991" s="3939"/>
      <c r="E991" s="2869"/>
      <c r="F991" s="2870">
        <f>SUM(G991:J991)</f>
        <v>0</v>
      </c>
      <c r="G991" s="2870"/>
      <c r="H991" s="2870"/>
      <c r="I991" s="2870"/>
      <c r="J991" s="2871"/>
    </row>
    <row r="992" spans="1:10" s="2864" customFormat="1" ht="15" hidden="1" customHeight="1">
      <c r="A992" s="3934"/>
      <c r="B992" s="3935"/>
      <c r="C992" s="3936"/>
      <c r="D992" s="3939"/>
      <c r="E992" s="2869"/>
      <c r="F992" s="2870">
        <f>SUM(G992:J992)</f>
        <v>0</v>
      </c>
      <c r="G992" s="2870"/>
      <c r="H992" s="2870"/>
      <c r="I992" s="2870"/>
      <c r="J992" s="2871"/>
    </row>
    <row r="993" spans="1:10" s="2864" customFormat="1" ht="15" customHeight="1">
      <c r="A993" s="3934"/>
      <c r="B993" s="3935"/>
      <c r="C993" s="3936"/>
      <c r="D993" s="3939"/>
      <c r="E993" s="2872" t="s">
        <v>1305</v>
      </c>
      <c r="F993" s="2867">
        <f>SUM(F994:F999)</f>
        <v>68300000</v>
      </c>
      <c r="G993" s="2867">
        <f>SUM(G994:G999)</f>
        <v>11945000</v>
      </c>
      <c r="H993" s="2867">
        <f>SUM(H994:H999)</f>
        <v>56355000</v>
      </c>
      <c r="I993" s="2867">
        <f>SUM(I994:I999)</f>
        <v>0</v>
      </c>
      <c r="J993" s="2868">
        <f>SUM(J994:J999)</f>
        <v>0</v>
      </c>
    </row>
    <row r="994" spans="1:10" s="2864" customFormat="1" ht="15" customHeight="1">
      <c r="A994" s="3934"/>
      <c r="B994" s="3935"/>
      <c r="C994" s="3936"/>
      <c r="D994" s="3939"/>
      <c r="E994" s="2869" t="s">
        <v>821</v>
      </c>
      <c r="F994" s="2870">
        <f t="shared" ref="F994:F999" si="112">SUM(G994:J994)</f>
        <v>1000000</v>
      </c>
      <c r="G994" s="2870">
        <v>1000000</v>
      </c>
      <c r="H994" s="2870"/>
      <c r="I994" s="2870"/>
      <c r="J994" s="2871"/>
    </row>
    <row r="995" spans="1:10" s="2864" customFormat="1" ht="15" customHeight="1">
      <c r="A995" s="3934"/>
      <c r="B995" s="3935"/>
      <c r="C995" s="3936"/>
      <c r="D995" s="3939"/>
      <c r="E995" s="2874">
        <v>6057</v>
      </c>
      <c r="F995" s="2870">
        <f t="shared" si="112"/>
        <v>48705000</v>
      </c>
      <c r="G995" s="2870"/>
      <c r="H995" s="2870">
        <v>48705000</v>
      </c>
      <c r="I995" s="2870"/>
      <c r="J995" s="2871"/>
    </row>
    <row r="996" spans="1:10" s="2864" customFormat="1" ht="15" customHeight="1">
      <c r="A996" s="3934"/>
      <c r="B996" s="3935"/>
      <c r="C996" s="3936"/>
      <c r="D996" s="3939"/>
      <c r="E996" s="2874">
        <v>6059</v>
      </c>
      <c r="F996" s="2870">
        <f t="shared" si="112"/>
        <v>8595000</v>
      </c>
      <c r="G996" s="2870">
        <v>8595000</v>
      </c>
      <c r="H996" s="2870"/>
      <c r="I996" s="2870"/>
      <c r="J996" s="2871"/>
    </row>
    <row r="997" spans="1:10" s="2864" customFormat="1" ht="15" customHeight="1">
      <c r="A997" s="3934"/>
      <c r="B997" s="3935"/>
      <c r="C997" s="3936"/>
      <c r="D997" s="3939"/>
      <c r="E997" s="2874">
        <v>6060</v>
      </c>
      <c r="F997" s="2870">
        <f t="shared" si="112"/>
        <v>1000000</v>
      </c>
      <c r="G997" s="2870">
        <v>1000000</v>
      </c>
      <c r="H997" s="2870"/>
      <c r="I997" s="2870"/>
      <c r="J997" s="2871"/>
    </row>
    <row r="998" spans="1:10" s="2864" customFormat="1" ht="15" customHeight="1">
      <c r="A998" s="3934"/>
      <c r="B998" s="3935"/>
      <c r="C998" s="3936"/>
      <c r="D998" s="3939"/>
      <c r="E998" s="2869" t="s">
        <v>897</v>
      </c>
      <c r="F998" s="2870">
        <f t="shared" si="112"/>
        <v>7650000</v>
      </c>
      <c r="G998" s="2870"/>
      <c r="H998" s="2870">
        <v>7650000</v>
      </c>
      <c r="I998" s="2870"/>
      <c r="J998" s="2871"/>
    </row>
    <row r="999" spans="1:10" s="2864" customFormat="1" ht="15" customHeight="1">
      <c r="A999" s="3934"/>
      <c r="B999" s="3935"/>
      <c r="C999" s="3936"/>
      <c r="D999" s="3939"/>
      <c r="E999" s="2874">
        <v>6069</v>
      </c>
      <c r="F999" s="2870">
        <f t="shared" si="112"/>
        <v>1350000</v>
      </c>
      <c r="G999" s="2870">
        <v>1350000</v>
      </c>
      <c r="H999" s="2870"/>
      <c r="I999" s="2870"/>
      <c r="J999" s="2871"/>
    </row>
    <row r="1000" spans="1:10" s="2864" customFormat="1" ht="22.5">
      <c r="A1000" s="3934" t="s">
        <v>1326</v>
      </c>
      <c r="B1000" s="3935" t="s">
        <v>1394</v>
      </c>
      <c r="C1000" s="3936">
        <v>750</v>
      </c>
      <c r="D1000" s="3939" t="s">
        <v>1043</v>
      </c>
      <c r="E1000" s="2861" t="s">
        <v>1304</v>
      </c>
      <c r="F1000" s="2862">
        <f>SUM(F1001,F1010)</f>
        <v>5356603</v>
      </c>
      <c r="G1000" s="2862">
        <f>SUM(G1001,G1010)</f>
        <v>1638000</v>
      </c>
      <c r="H1000" s="2862">
        <f>SUM(H1001,H1010)</f>
        <v>3160813</v>
      </c>
      <c r="I1000" s="2862">
        <f>SUM(I1001,I1010)</f>
        <v>557790</v>
      </c>
      <c r="J1000" s="2863">
        <f>SUM(J1001,J1010)</f>
        <v>0</v>
      </c>
    </row>
    <row r="1001" spans="1:10" s="2864" customFormat="1" ht="15" customHeight="1">
      <c r="A1001" s="3934"/>
      <c r="B1001" s="3935"/>
      <c r="C1001" s="3936"/>
      <c r="D1001" s="3939"/>
      <c r="E1001" s="2866" t="s">
        <v>1017</v>
      </c>
      <c r="F1001" s="2867">
        <f>SUM(F1002,F1005)</f>
        <v>37499</v>
      </c>
      <c r="G1001" s="2867">
        <f>SUM(G1002,G1005)</f>
        <v>3750</v>
      </c>
      <c r="H1001" s="2867">
        <f>SUM(H1002,H1005)</f>
        <v>28687</v>
      </c>
      <c r="I1001" s="2867">
        <f>SUM(I1002,I1005)</f>
        <v>5062</v>
      </c>
      <c r="J1001" s="2868">
        <f>SUM(J1002,J1005)</f>
        <v>0</v>
      </c>
    </row>
    <row r="1002" spans="1:10" s="2864" customFormat="1" ht="15" hidden="1" customHeight="1">
      <c r="A1002" s="3934"/>
      <c r="B1002" s="3935"/>
      <c r="C1002" s="3936"/>
      <c r="D1002" s="3939"/>
      <c r="E1002" s="2880" t="s">
        <v>1311</v>
      </c>
      <c r="F1002" s="2881">
        <f>SUM(F1003:F1004)</f>
        <v>0</v>
      </c>
      <c r="G1002" s="2881">
        <f>SUM(G1003:G1004)</f>
        <v>0</v>
      </c>
      <c r="H1002" s="2881">
        <f>SUM(H1003:H1004)</f>
        <v>0</v>
      </c>
      <c r="I1002" s="2881">
        <f>SUM(I1003:I1004)</f>
        <v>0</v>
      </c>
      <c r="J1002" s="2882">
        <f>SUM(J1003:J1004)</f>
        <v>0</v>
      </c>
    </row>
    <row r="1003" spans="1:10" s="2864" customFormat="1" ht="15" hidden="1" customHeight="1">
      <c r="A1003" s="3934"/>
      <c r="B1003" s="3935"/>
      <c r="C1003" s="3936"/>
      <c r="D1003" s="3939"/>
      <c r="E1003" s="2869"/>
      <c r="F1003" s="2870">
        <f>SUM(G1003:J1003)</f>
        <v>0</v>
      </c>
      <c r="G1003" s="2870"/>
      <c r="H1003" s="2870"/>
      <c r="I1003" s="2870"/>
      <c r="J1003" s="2871"/>
    </row>
    <row r="1004" spans="1:10" s="2864" customFormat="1" ht="15" hidden="1" customHeight="1">
      <c r="A1004" s="3934"/>
      <c r="B1004" s="3935"/>
      <c r="C1004" s="3936"/>
      <c r="D1004" s="3939"/>
      <c r="E1004" s="2869"/>
      <c r="F1004" s="2870">
        <f>SUM(G1004:J1004)</f>
        <v>0</v>
      </c>
      <c r="G1004" s="2870"/>
      <c r="H1004" s="2870"/>
      <c r="I1004" s="2870"/>
      <c r="J1004" s="2871"/>
    </row>
    <row r="1005" spans="1:10" s="2864" customFormat="1" ht="22.5">
      <c r="A1005" s="3934"/>
      <c r="B1005" s="3935"/>
      <c r="C1005" s="3936"/>
      <c r="D1005" s="3939"/>
      <c r="E1005" s="2880" t="s">
        <v>1312</v>
      </c>
      <c r="F1005" s="2881">
        <f>SUM(F1006:F1009)</f>
        <v>37499</v>
      </c>
      <c r="G1005" s="2881">
        <f>SUM(G1006:G1009)</f>
        <v>3750</v>
      </c>
      <c r="H1005" s="2881">
        <f>SUM(H1006:H1009)</f>
        <v>28687</v>
      </c>
      <c r="I1005" s="2881">
        <f>SUM(I1006:I1009)</f>
        <v>5062</v>
      </c>
      <c r="J1005" s="2882">
        <f>SUM(J1006:J1009)</f>
        <v>0</v>
      </c>
    </row>
    <row r="1006" spans="1:10" s="2864" customFormat="1" ht="15" hidden="1" customHeight="1">
      <c r="A1006" s="3934"/>
      <c r="B1006" s="3935"/>
      <c r="C1006" s="3936"/>
      <c r="D1006" s="3939"/>
      <c r="E1006" s="2869" t="s">
        <v>841</v>
      </c>
      <c r="F1006" s="2870">
        <f>SUM(G1006:J1006)</f>
        <v>0</v>
      </c>
      <c r="G1006" s="2870"/>
      <c r="H1006" s="2870"/>
      <c r="I1006" s="2870"/>
      <c r="J1006" s="2871"/>
    </row>
    <row r="1007" spans="1:10" s="2864" customFormat="1" ht="15" hidden="1" customHeight="1">
      <c r="A1007" s="3934"/>
      <c r="B1007" s="3935"/>
      <c r="C1007" s="3936"/>
      <c r="D1007" s="3939"/>
      <c r="E1007" s="2869" t="s">
        <v>842</v>
      </c>
      <c r="F1007" s="2870">
        <f t="shared" ref="F1007:F1009" si="113">SUM(G1007:J1007)</f>
        <v>0</v>
      </c>
      <c r="G1007" s="2870"/>
      <c r="H1007" s="2870"/>
      <c r="I1007" s="2870"/>
      <c r="J1007" s="2871"/>
    </row>
    <row r="1008" spans="1:10" s="2864" customFormat="1" ht="15" customHeight="1">
      <c r="A1008" s="3934"/>
      <c r="B1008" s="3935"/>
      <c r="C1008" s="3936"/>
      <c r="D1008" s="3939"/>
      <c r="E1008" s="2869" t="s">
        <v>845</v>
      </c>
      <c r="F1008" s="2870">
        <f t="shared" si="113"/>
        <v>28687</v>
      </c>
      <c r="G1008" s="2870"/>
      <c r="H1008" s="2870">
        <v>28687</v>
      </c>
      <c r="I1008" s="2870"/>
      <c r="J1008" s="2871"/>
    </row>
    <row r="1009" spans="1:17" s="2864" customFormat="1" ht="15" customHeight="1">
      <c r="A1009" s="3934"/>
      <c r="B1009" s="3935"/>
      <c r="C1009" s="3936"/>
      <c r="D1009" s="3939"/>
      <c r="E1009" s="2869" t="s">
        <v>846</v>
      </c>
      <c r="F1009" s="2870">
        <f t="shared" si="113"/>
        <v>8812</v>
      </c>
      <c r="G1009" s="2870">
        <v>3750</v>
      </c>
      <c r="H1009" s="2870"/>
      <c r="I1009" s="2870">
        <v>5062</v>
      </c>
      <c r="J1009" s="2871"/>
    </row>
    <row r="1010" spans="1:17" s="2864" customFormat="1" ht="15" customHeight="1">
      <c r="A1010" s="3934"/>
      <c r="B1010" s="3935"/>
      <c r="C1010" s="3936"/>
      <c r="D1010" s="3939"/>
      <c r="E1010" s="2872" t="s">
        <v>1305</v>
      </c>
      <c r="F1010" s="2867">
        <f>SUM(F1011:F1016)</f>
        <v>5319104</v>
      </c>
      <c r="G1010" s="2867">
        <f>SUM(G1011:G1016)</f>
        <v>1634250</v>
      </c>
      <c r="H1010" s="2867">
        <f>SUM(H1011:H1016)</f>
        <v>3132126</v>
      </c>
      <c r="I1010" s="2867">
        <f>SUM(I1011:I1016)</f>
        <v>552728</v>
      </c>
      <c r="J1010" s="2868">
        <f>SUM(J1011:J1016)</f>
        <v>0</v>
      </c>
    </row>
    <row r="1011" spans="1:17" s="2864" customFormat="1" ht="15" customHeight="1">
      <c r="A1011" s="3934"/>
      <c r="B1011" s="3935"/>
      <c r="C1011" s="3936"/>
      <c r="D1011" s="3939"/>
      <c r="E1011" s="2869" t="s">
        <v>821</v>
      </c>
      <c r="F1011" s="2870">
        <f t="shared" ref="F1011:F1016" si="114">SUM(G1011:J1011)</f>
        <v>1224035</v>
      </c>
      <c r="G1011" s="2870">
        <v>1224035</v>
      </c>
      <c r="H1011" s="2870"/>
      <c r="I1011" s="2870"/>
      <c r="J1011" s="2871"/>
    </row>
    <row r="1012" spans="1:17" s="2864" customFormat="1" ht="15" customHeight="1">
      <c r="A1012" s="3934"/>
      <c r="B1012" s="3935"/>
      <c r="C1012" s="3936"/>
      <c r="D1012" s="3939"/>
      <c r="E1012" s="2874">
        <v>6058</v>
      </c>
      <c r="F1012" s="2870">
        <f t="shared" si="114"/>
        <v>2781576</v>
      </c>
      <c r="G1012" s="2870"/>
      <c r="H1012" s="2870">
        <v>2781576</v>
      </c>
      <c r="I1012" s="2870"/>
      <c r="J1012" s="2871"/>
    </row>
    <row r="1013" spans="1:17" s="2864" customFormat="1" ht="15" customHeight="1">
      <c r="A1013" s="3934"/>
      <c r="B1013" s="3935"/>
      <c r="C1013" s="3936"/>
      <c r="D1013" s="3939"/>
      <c r="E1013" s="2874">
        <v>6059</v>
      </c>
      <c r="F1013" s="2870">
        <f t="shared" si="114"/>
        <v>901081</v>
      </c>
      <c r="G1013" s="2870">
        <v>410215</v>
      </c>
      <c r="H1013" s="2870"/>
      <c r="I1013" s="2870">
        <v>490866</v>
      </c>
      <c r="J1013" s="2871"/>
    </row>
    <row r="1014" spans="1:17" s="2864" customFormat="1" ht="15" hidden="1" customHeight="1">
      <c r="A1014" s="3934"/>
      <c r="B1014" s="3935"/>
      <c r="C1014" s="3936"/>
      <c r="D1014" s="3939"/>
      <c r="E1014" s="2874">
        <v>6060</v>
      </c>
      <c r="F1014" s="2870">
        <f t="shared" si="114"/>
        <v>0</v>
      </c>
      <c r="G1014" s="2870"/>
      <c r="H1014" s="2870"/>
      <c r="I1014" s="2870"/>
      <c r="J1014" s="2871"/>
    </row>
    <row r="1015" spans="1:17" s="2864" customFormat="1" ht="15" customHeight="1">
      <c r="A1015" s="3934"/>
      <c r="B1015" s="3935"/>
      <c r="C1015" s="3936"/>
      <c r="D1015" s="3939"/>
      <c r="E1015" s="2869" t="s">
        <v>419</v>
      </c>
      <c r="F1015" s="2870">
        <f t="shared" si="114"/>
        <v>350550</v>
      </c>
      <c r="G1015" s="2870"/>
      <c r="H1015" s="2870">
        <v>350550</v>
      </c>
      <c r="I1015" s="2870"/>
      <c r="J1015" s="2871"/>
    </row>
    <row r="1016" spans="1:17" s="2864" customFormat="1" ht="15" customHeight="1">
      <c r="A1016" s="3934"/>
      <c r="B1016" s="3935"/>
      <c r="C1016" s="3936"/>
      <c r="D1016" s="3939"/>
      <c r="E1016" s="2874">
        <v>6209</v>
      </c>
      <c r="F1016" s="2870">
        <f t="shared" si="114"/>
        <v>61862</v>
      </c>
      <c r="G1016" s="2870"/>
      <c r="H1016" s="2870"/>
      <c r="I1016" s="2870">
        <v>61862</v>
      </c>
      <c r="J1016" s="2871"/>
    </row>
    <row r="1017" spans="1:17" s="2879" customFormat="1" ht="24.95" hidden="1" customHeight="1">
      <c r="A1017" s="2928" t="s">
        <v>1395</v>
      </c>
      <c r="B1017" s="3956" t="s">
        <v>1396</v>
      </c>
      <c r="C1017" s="3956"/>
      <c r="D1017" s="3956"/>
      <c r="E1017" s="3956"/>
      <c r="F1017" s="2929">
        <f>F1019</f>
        <v>0</v>
      </c>
      <c r="G1017" s="2929">
        <f>G1019</f>
        <v>0</v>
      </c>
      <c r="H1017" s="2929">
        <f t="shared" ref="H1017:J1017" si="115">H1019</f>
        <v>0</v>
      </c>
      <c r="I1017" s="2929">
        <f t="shared" si="115"/>
        <v>0</v>
      </c>
      <c r="J1017" s="2930">
        <f t="shared" si="115"/>
        <v>0</v>
      </c>
      <c r="K1017" s="2864"/>
      <c r="L1017" s="2864"/>
      <c r="M1017" s="2864"/>
      <c r="N1017" s="2864"/>
      <c r="O1017" s="2864"/>
      <c r="P1017" s="2864"/>
      <c r="Q1017" s="2864"/>
    </row>
    <row r="1018" spans="1:17" s="2879" customFormat="1" ht="15" hidden="1" customHeight="1">
      <c r="A1018" s="3931"/>
      <c r="B1018" s="3932"/>
      <c r="C1018" s="3932"/>
      <c r="D1018" s="3932"/>
      <c r="E1018" s="3932"/>
      <c r="F1018" s="3932"/>
      <c r="G1018" s="3932"/>
      <c r="H1018" s="3932"/>
      <c r="I1018" s="3932"/>
      <c r="J1018" s="3933"/>
      <c r="K1018" s="2864"/>
      <c r="L1018" s="2864"/>
      <c r="M1018" s="2864"/>
      <c r="N1018" s="2864"/>
      <c r="O1018" s="2864"/>
      <c r="P1018" s="2864"/>
      <c r="Q1018" s="2864"/>
    </row>
    <row r="1019" spans="1:17" s="2879" customFormat="1" ht="15" hidden="1" customHeight="1">
      <c r="A1019" s="3940" t="s">
        <v>1302</v>
      </c>
      <c r="B1019" s="3943" t="s">
        <v>1397</v>
      </c>
      <c r="C1019" s="3949" t="s">
        <v>121</v>
      </c>
      <c r="D1019" s="3949" t="s">
        <v>1257</v>
      </c>
      <c r="E1019" s="2898" t="s">
        <v>1304</v>
      </c>
      <c r="F1019" s="2899">
        <f>SUM(F1020,F1027)</f>
        <v>0</v>
      </c>
      <c r="G1019" s="2899">
        <f>SUM(G1020,G1027)</f>
        <v>0</v>
      </c>
      <c r="H1019" s="2899">
        <f>SUM(H1020,H1027)</f>
        <v>0</v>
      </c>
      <c r="I1019" s="2899">
        <f>SUM(I1020,I1027)</f>
        <v>0</v>
      </c>
      <c r="J1019" s="2900">
        <f>SUM(J1020,J1027)</f>
        <v>0</v>
      </c>
      <c r="K1019" s="2864"/>
      <c r="L1019" s="2864"/>
      <c r="M1019" s="2864"/>
      <c r="N1019" s="2864"/>
      <c r="O1019" s="2864"/>
      <c r="P1019" s="2864"/>
      <c r="Q1019" s="2864"/>
    </row>
    <row r="1020" spans="1:17" s="2879" customFormat="1" ht="15" hidden="1" customHeight="1">
      <c r="A1020" s="3941"/>
      <c r="B1020" s="3944"/>
      <c r="C1020" s="3950"/>
      <c r="D1020" s="3950"/>
      <c r="E1020" s="2901" t="s">
        <v>1017</v>
      </c>
      <c r="F1020" s="2902">
        <f>SUM(F1021,F1024)</f>
        <v>0</v>
      </c>
      <c r="G1020" s="2902">
        <f>SUM(G1021,G1024)</f>
        <v>0</v>
      </c>
      <c r="H1020" s="2902">
        <f>SUM(H1021,H1024)</f>
        <v>0</v>
      </c>
      <c r="I1020" s="2902">
        <f>SUM(I1021,I1024)</f>
        <v>0</v>
      </c>
      <c r="J1020" s="2903">
        <f>SUM(J1021,J1024)</f>
        <v>0</v>
      </c>
      <c r="K1020" s="2864"/>
      <c r="L1020" s="2864"/>
      <c r="M1020" s="2864"/>
      <c r="N1020" s="2864"/>
      <c r="O1020" s="2864"/>
      <c r="P1020" s="2864"/>
      <c r="Q1020" s="2864"/>
    </row>
    <row r="1021" spans="1:17" s="2879" customFormat="1" ht="15" hidden="1" customHeight="1">
      <c r="A1021" s="3941"/>
      <c r="B1021" s="3944"/>
      <c r="C1021" s="3950"/>
      <c r="D1021" s="3950"/>
      <c r="E1021" s="2904" t="s">
        <v>1311</v>
      </c>
      <c r="F1021" s="2905">
        <f>SUM(F1022:F1023)</f>
        <v>0</v>
      </c>
      <c r="G1021" s="2905">
        <f>SUM(G1022:G1023)</f>
        <v>0</v>
      </c>
      <c r="H1021" s="2905">
        <f>SUM(H1022:H1023)</f>
        <v>0</v>
      </c>
      <c r="I1021" s="2905">
        <f>SUM(I1022:I1023)</f>
        <v>0</v>
      </c>
      <c r="J1021" s="2906">
        <f>SUM(J1022:J1023)</f>
        <v>0</v>
      </c>
      <c r="K1021" s="2864"/>
      <c r="L1021" s="2864"/>
      <c r="M1021" s="2864"/>
      <c r="N1021" s="2864"/>
      <c r="O1021" s="2864"/>
      <c r="P1021" s="2864"/>
      <c r="Q1021" s="2864"/>
    </row>
    <row r="1022" spans="1:17" s="2879" customFormat="1" ht="15" hidden="1" customHeight="1">
      <c r="A1022" s="3941"/>
      <c r="B1022" s="3944"/>
      <c r="C1022" s="3950"/>
      <c r="D1022" s="3950"/>
      <c r="E1022" s="2895"/>
      <c r="F1022" s="2896">
        <f>SUM(G1022:J1022)</f>
        <v>0</v>
      </c>
      <c r="G1022" s="2896"/>
      <c r="H1022" s="2896"/>
      <c r="I1022" s="2896"/>
      <c r="J1022" s="2897"/>
      <c r="K1022" s="2864"/>
      <c r="L1022" s="2864"/>
      <c r="M1022" s="2864"/>
      <c r="N1022" s="2864"/>
      <c r="O1022" s="2864"/>
      <c r="P1022" s="2864"/>
      <c r="Q1022" s="2864"/>
    </row>
    <row r="1023" spans="1:17" s="2879" customFormat="1" ht="15" hidden="1" customHeight="1">
      <c r="A1023" s="3941"/>
      <c r="B1023" s="3944"/>
      <c r="C1023" s="3950"/>
      <c r="D1023" s="3950"/>
      <c r="E1023" s="2895"/>
      <c r="F1023" s="2896">
        <f>SUM(G1023:J1023)</f>
        <v>0</v>
      </c>
      <c r="G1023" s="2896"/>
      <c r="H1023" s="2896"/>
      <c r="I1023" s="2896"/>
      <c r="J1023" s="2897"/>
      <c r="K1023" s="2864"/>
      <c r="L1023" s="2864"/>
      <c r="M1023" s="2864"/>
      <c r="N1023" s="2864"/>
      <c r="O1023" s="2864"/>
      <c r="P1023" s="2864"/>
      <c r="Q1023" s="2864"/>
    </row>
    <row r="1024" spans="1:17" s="2879" customFormat="1" ht="15" hidden="1" customHeight="1">
      <c r="A1024" s="3941"/>
      <c r="B1024" s="3944"/>
      <c r="C1024" s="3950"/>
      <c r="D1024" s="3950"/>
      <c r="E1024" s="2904" t="s">
        <v>1312</v>
      </c>
      <c r="F1024" s="2905">
        <f>SUM(F1025:F1026)</f>
        <v>0</v>
      </c>
      <c r="G1024" s="2905">
        <f>SUM(G1025:G1026)</f>
        <v>0</v>
      </c>
      <c r="H1024" s="2905">
        <f>SUM(H1025:H1026)</f>
        <v>0</v>
      </c>
      <c r="I1024" s="2905">
        <f>SUM(I1025:I1026)</f>
        <v>0</v>
      </c>
      <c r="J1024" s="2906">
        <f>SUM(J1025:J1026)</f>
        <v>0</v>
      </c>
      <c r="K1024" s="2864"/>
      <c r="L1024" s="2864"/>
      <c r="M1024" s="2864"/>
      <c r="N1024" s="2864"/>
      <c r="O1024" s="2864"/>
      <c r="P1024" s="2864"/>
      <c r="Q1024" s="2864"/>
    </row>
    <row r="1025" spans="1:17" s="2879" customFormat="1" ht="15" hidden="1" customHeight="1">
      <c r="A1025" s="3941"/>
      <c r="B1025" s="3944"/>
      <c r="C1025" s="3950"/>
      <c r="D1025" s="3950"/>
      <c r="E1025" s="2895" t="s">
        <v>892</v>
      </c>
      <c r="F1025" s="2896">
        <f>SUM(G1025:J1025)</f>
        <v>0</v>
      </c>
      <c r="G1025" s="2896"/>
      <c r="H1025" s="2896"/>
      <c r="I1025" s="2896"/>
      <c r="J1025" s="2897"/>
      <c r="K1025" s="2864"/>
      <c r="L1025" s="2864"/>
      <c r="M1025" s="2864"/>
      <c r="N1025" s="2864"/>
      <c r="O1025" s="2864"/>
      <c r="P1025" s="2864"/>
      <c r="Q1025" s="2864"/>
    </row>
    <row r="1026" spans="1:17" s="2879" customFormat="1" ht="15" hidden="1" customHeight="1">
      <c r="A1026" s="3941"/>
      <c r="B1026" s="3944"/>
      <c r="C1026" s="3950"/>
      <c r="D1026" s="3950"/>
      <c r="E1026" s="2895" t="s">
        <v>846</v>
      </c>
      <c r="F1026" s="2896">
        <f>SUM(G1026:J1026)</f>
        <v>0</v>
      </c>
      <c r="G1026" s="2896"/>
      <c r="H1026" s="2896"/>
      <c r="I1026" s="2896"/>
      <c r="J1026" s="2897"/>
      <c r="K1026" s="2864"/>
      <c r="L1026" s="2864"/>
      <c r="M1026" s="2864"/>
      <c r="N1026" s="2864"/>
      <c r="O1026" s="2864"/>
      <c r="P1026" s="2864"/>
      <c r="Q1026" s="2864"/>
    </row>
    <row r="1027" spans="1:17" s="2879" customFormat="1" ht="15" hidden="1" customHeight="1">
      <c r="A1027" s="3942"/>
      <c r="B1027" s="3945"/>
      <c r="C1027" s="3951"/>
      <c r="D1027" s="3951"/>
      <c r="E1027" s="2907" t="s">
        <v>1305</v>
      </c>
      <c r="F1027" s="2902">
        <f>SUM(F1028:F1028)</f>
        <v>0</v>
      </c>
      <c r="G1027" s="2902">
        <f>SUM(G1028:G1028)</f>
        <v>0</v>
      </c>
      <c r="H1027" s="2902">
        <f>SUM(H1028:H1028)</f>
        <v>0</v>
      </c>
      <c r="I1027" s="2902">
        <f>SUM(I1028:I1028)</f>
        <v>0</v>
      </c>
      <c r="J1027" s="2903">
        <f>SUM(J1028:J1028)</f>
        <v>0</v>
      </c>
      <c r="K1027" s="2864"/>
      <c r="L1027" s="2864"/>
      <c r="M1027" s="2864"/>
      <c r="N1027" s="2864"/>
      <c r="O1027" s="2864"/>
      <c r="P1027" s="2864"/>
      <c r="Q1027" s="2864"/>
    </row>
    <row r="1028" spans="1:17" s="2879" customFormat="1" ht="15" hidden="1" customHeight="1">
      <c r="A1028" s="2891"/>
      <c r="B1028" s="2910"/>
      <c r="C1028" s="2894"/>
      <c r="D1028" s="2894"/>
      <c r="E1028" s="2895"/>
      <c r="F1028" s="2896">
        <f>SUM(G1028:J1028)</f>
        <v>0</v>
      </c>
      <c r="G1028" s="2896"/>
      <c r="H1028" s="2896"/>
      <c r="I1028" s="2896">
        <f>223000-223000</f>
        <v>0</v>
      </c>
      <c r="J1028" s="2897"/>
      <c r="K1028" s="2864"/>
      <c r="L1028" s="2864"/>
      <c r="M1028" s="2864"/>
      <c r="N1028" s="2864"/>
      <c r="O1028" s="2864"/>
      <c r="P1028" s="2864"/>
      <c r="Q1028" s="2864"/>
    </row>
    <row r="1029" spans="1:17" s="2879" customFormat="1" ht="24.95" hidden="1" customHeight="1">
      <c r="A1029" s="2928" t="s">
        <v>1398</v>
      </c>
      <c r="B1029" s="3956" t="s">
        <v>1399</v>
      </c>
      <c r="C1029" s="3956"/>
      <c r="D1029" s="3956"/>
      <c r="E1029" s="3956"/>
      <c r="F1029" s="2929">
        <f>F1031</f>
        <v>0</v>
      </c>
      <c r="G1029" s="2929">
        <f t="shared" ref="G1029:J1029" si="116">G1031</f>
        <v>0</v>
      </c>
      <c r="H1029" s="2929">
        <f t="shared" si="116"/>
        <v>0</v>
      </c>
      <c r="I1029" s="2929">
        <f t="shared" si="116"/>
        <v>0</v>
      </c>
      <c r="J1029" s="2930">
        <f t="shared" si="116"/>
        <v>0</v>
      </c>
      <c r="K1029" s="2864"/>
      <c r="L1029" s="2864"/>
      <c r="M1029" s="2864"/>
      <c r="N1029" s="2864"/>
      <c r="O1029" s="2864"/>
      <c r="P1029" s="2864"/>
      <c r="Q1029" s="2864"/>
    </row>
    <row r="1030" spans="1:17" s="2879" customFormat="1" ht="15" hidden="1" customHeight="1">
      <c r="A1030" s="3931"/>
      <c r="B1030" s="3932"/>
      <c r="C1030" s="3932"/>
      <c r="D1030" s="3932"/>
      <c r="E1030" s="3932"/>
      <c r="F1030" s="3932"/>
      <c r="G1030" s="3932"/>
      <c r="H1030" s="3932"/>
      <c r="I1030" s="3932"/>
      <c r="J1030" s="3933"/>
      <c r="K1030" s="2864"/>
      <c r="L1030" s="2864"/>
      <c r="M1030" s="2864"/>
      <c r="N1030" s="2864"/>
      <c r="O1030" s="2864"/>
      <c r="P1030" s="2864"/>
      <c r="Q1030" s="2864"/>
    </row>
    <row r="1031" spans="1:17" s="2879" customFormat="1" ht="15" hidden="1" customHeight="1">
      <c r="A1031" s="3940" t="s">
        <v>1302</v>
      </c>
      <c r="B1031" s="3943" t="s">
        <v>1400</v>
      </c>
      <c r="C1031" s="3949" t="s">
        <v>121</v>
      </c>
      <c r="D1031" s="3949" t="s">
        <v>1257</v>
      </c>
      <c r="E1031" s="2898" t="s">
        <v>1304</v>
      </c>
      <c r="F1031" s="2899">
        <f>SUM(F1032,F1040)</f>
        <v>0</v>
      </c>
      <c r="G1031" s="2899">
        <f>SUM(G1032,G1040)</f>
        <v>0</v>
      </c>
      <c r="H1031" s="2899">
        <f>SUM(H1032,H1040)</f>
        <v>0</v>
      </c>
      <c r="I1031" s="2899">
        <f>SUM(I1032,I1040)</f>
        <v>0</v>
      </c>
      <c r="J1031" s="2900">
        <f>SUM(J1032,J1040)</f>
        <v>0</v>
      </c>
      <c r="K1031" s="2864"/>
      <c r="L1031" s="2864"/>
      <c r="M1031" s="2864"/>
      <c r="N1031" s="2864"/>
      <c r="O1031" s="2864"/>
      <c r="P1031" s="2864"/>
      <c r="Q1031" s="2864"/>
    </row>
    <row r="1032" spans="1:17" s="2879" customFormat="1" ht="15" hidden="1" customHeight="1">
      <c r="A1032" s="3941"/>
      <c r="B1032" s="3944"/>
      <c r="C1032" s="3950"/>
      <c r="D1032" s="3950"/>
      <c r="E1032" s="2901" t="s">
        <v>1017</v>
      </c>
      <c r="F1032" s="2902">
        <f>SUM(F1033,F1036)</f>
        <v>0</v>
      </c>
      <c r="G1032" s="2902">
        <f>SUM(G1033,G1036)</f>
        <v>0</v>
      </c>
      <c r="H1032" s="2902">
        <f>SUM(H1033,H1036)</f>
        <v>0</v>
      </c>
      <c r="I1032" s="2902">
        <f>SUM(I1033,I1036)</f>
        <v>0</v>
      </c>
      <c r="J1032" s="2903">
        <f>SUM(J1033,J1036)</f>
        <v>0</v>
      </c>
      <c r="K1032" s="2864"/>
      <c r="L1032" s="2864"/>
      <c r="M1032" s="2864"/>
      <c r="N1032" s="2864"/>
      <c r="O1032" s="2864"/>
      <c r="P1032" s="2864"/>
      <c r="Q1032" s="2864"/>
    </row>
    <row r="1033" spans="1:17" s="2879" customFormat="1" ht="15" hidden="1" customHeight="1">
      <c r="A1033" s="3941"/>
      <c r="B1033" s="3944"/>
      <c r="C1033" s="3950"/>
      <c r="D1033" s="3950"/>
      <c r="E1033" s="2904" t="s">
        <v>1311</v>
      </c>
      <c r="F1033" s="2905">
        <f>SUM(F1034:F1035)</f>
        <v>0</v>
      </c>
      <c r="G1033" s="2905">
        <f>SUM(G1034:G1035)</f>
        <v>0</v>
      </c>
      <c r="H1033" s="2905">
        <f>SUM(H1034:H1035)</f>
        <v>0</v>
      </c>
      <c r="I1033" s="2905">
        <f>SUM(I1034:I1035)</f>
        <v>0</v>
      </c>
      <c r="J1033" s="2906">
        <f>SUM(J1034:J1035)</f>
        <v>0</v>
      </c>
      <c r="K1033" s="2864"/>
      <c r="L1033" s="2864"/>
      <c r="M1033" s="2864"/>
      <c r="N1033" s="2864"/>
      <c r="O1033" s="2864"/>
      <c r="P1033" s="2864"/>
      <c r="Q1033" s="2864"/>
    </row>
    <row r="1034" spans="1:17" s="2879" customFormat="1" ht="15" hidden="1" customHeight="1">
      <c r="A1034" s="3941"/>
      <c r="B1034" s="3944"/>
      <c r="C1034" s="3950"/>
      <c r="D1034" s="3950"/>
      <c r="E1034" s="2895"/>
      <c r="F1034" s="2896">
        <f>SUM(G1034:J1034)</f>
        <v>0</v>
      </c>
      <c r="G1034" s="2896"/>
      <c r="H1034" s="2896"/>
      <c r="I1034" s="2896"/>
      <c r="J1034" s="2897"/>
      <c r="K1034" s="2864"/>
      <c r="L1034" s="2864"/>
      <c r="M1034" s="2864"/>
      <c r="N1034" s="2864"/>
      <c r="O1034" s="2864"/>
      <c r="P1034" s="2864"/>
      <c r="Q1034" s="2864"/>
    </row>
    <row r="1035" spans="1:17" s="2879" customFormat="1" ht="15" hidden="1" customHeight="1">
      <c r="A1035" s="3941"/>
      <c r="B1035" s="3944"/>
      <c r="C1035" s="3950"/>
      <c r="D1035" s="3950"/>
      <c r="E1035" s="2895"/>
      <c r="F1035" s="2896">
        <f>SUM(G1035:J1035)</f>
        <v>0</v>
      </c>
      <c r="G1035" s="2896"/>
      <c r="H1035" s="2896"/>
      <c r="I1035" s="2896"/>
      <c r="J1035" s="2897"/>
      <c r="K1035" s="2864"/>
      <c r="L1035" s="2864"/>
      <c r="M1035" s="2864"/>
      <c r="N1035" s="2864"/>
      <c r="O1035" s="2864"/>
      <c r="P1035" s="2864"/>
      <c r="Q1035" s="2864"/>
    </row>
    <row r="1036" spans="1:17" s="2879" customFormat="1" ht="15" hidden="1" customHeight="1">
      <c r="A1036" s="3941"/>
      <c r="B1036" s="3944"/>
      <c r="C1036" s="3950"/>
      <c r="D1036" s="3950"/>
      <c r="E1036" s="2904" t="s">
        <v>1312</v>
      </c>
      <c r="F1036" s="2905">
        <f>SUM(F1037:F1039)</f>
        <v>0</v>
      </c>
      <c r="G1036" s="2905">
        <f>SUM(G1037:G1039)</f>
        <v>0</v>
      </c>
      <c r="H1036" s="2905">
        <f>SUM(H1037:H1039)</f>
        <v>0</v>
      </c>
      <c r="I1036" s="2905">
        <f>SUM(I1037:I1039)</f>
        <v>0</v>
      </c>
      <c r="J1036" s="2906">
        <f>SUM(J1037:J1039)</f>
        <v>0</v>
      </c>
      <c r="K1036" s="2864"/>
      <c r="L1036" s="2864"/>
      <c r="M1036" s="2864"/>
      <c r="N1036" s="2864"/>
      <c r="O1036" s="2864"/>
      <c r="P1036" s="2864"/>
      <c r="Q1036" s="2864"/>
    </row>
    <row r="1037" spans="1:17" s="2879" customFormat="1" ht="15" hidden="1" customHeight="1">
      <c r="A1037" s="3941"/>
      <c r="B1037" s="3944"/>
      <c r="C1037" s="3950"/>
      <c r="D1037" s="3950"/>
      <c r="E1037" s="2895" t="s">
        <v>783</v>
      </c>
      <c r="F1037" s="2896">
        <f>SUM(G1037:J1037)</f>
        <v>0</v>
      </c>
      <c r="G1037" s="2896"/>
      <c r="H1037" s="2896"/>
      <c r="I1037" s="2896"/>
      <c r="J1037" s="2897"/>
      <c r="K1037" s="2864"/>
      <c r="L1037" s="2864"/>
      <c r="M1037" s="2864"/>
      <c r="N1037" s="2864"/>
      <c r="O1037" s="2864"/>
      <c r="P1037" s="2864"/>
      <c r="Q1037" s="2864"/>
    </row>
    <row r="1038" spans="1:17" s="2879" customFormat="1" ht="15" hidden="1" customHeight="1">
      <c r="A1038" s="3941"/>
      <c r="B1038" s="3944"/>
      <c r="C1038" s="3950"/>
      <c r="D1038" s="3950"/>
      <c r="E1038" s="2895" t="s">
        <v>892</v>
      </c>
      <c r="F1038" s="2896">
        <f>SUM(G1038:J1038)</f>
        <v>0</v>
      </c>
      <c r="G1038" s="2896"/>
      <c r="H1038" s="2896"/>
      <c r="I1038" s="2896"/>
      <c r="J1038" s="2897"/>
      <c r="K1038" s="2864"/>
      <c r="L1038" s="2864"/>
      <c r="M1038" s="2864"/>
      <c r="N1038" s="2864"/>
      <c r="O1038" s="2864"/>
      <c r="P1038" s="2864"/>
      <c r="Q1038" s="2864"/>
    </row>
    <row r="1039" spans="1:17" s="2879" customFormat="1" ht="15" hidden="1" customHeight="1">
      <c r="A1039" s="3941"/>
      <c r="B1039" s="3944"/>
      <c r="C1039" s="3950"/>
      <c r="D1039" s="3950"/>
      <c r="E1039" s="2895" t="s">
        <v>846</v>
      </c>
      <c r="F1039" s="2896">
        <f>SUM(G1039:J1039)</f>
        <v>0</v>
      </c>
      <c r="G1039" s="2896"/>
      <c r="H1039" s="2896"/>
      <c r="I1039" s="2896"/>
      <c r="J1039" s="2897"/>
      <c r="K1039" s="2864"/>
      <c r="L1039" s="2864"/>
      <c r="M1039" s="2864"/>
      <c r="N1039" s="2864"/>
      <c r="O1039" s="2864"/>
      <c r="P1039" s="2864"/>
      <c r="Q1039" s="2864"/>
    </row>
    <row r="1040" spans="1:17" s="2879" customFormat="1" ht="15" hidden="1" customHeight="1">
      <c r="A1040" s="3942"/>
      <c r="B1040" s="3945"/>
      <c r="C1040" s="3951"/>
      <c r="D1040" s="3951"/>
      <c r="E1040" s="2907" t="s">
        <v>1305</v>
      </c>
      <c r="F1040" s="2902">
        <f>SUM(F1041:F1041)</f>
        <v>0</v>
      </c>
      <c r="G1040" s="2902">
        <f>SUM(G1041:G1041)</f>
        <v>0</v>
      </c>
      <c r="H1040" s="2902">
        <f>SUM(H1041:H1041)</f>
        <v>0</v>
      </c>
      <c r="I1040" s="2902">
        <f>SUM(I1041:I1041)</f>
        <v>0</v>
      </c>
      <c r="J1040" s="2903">
        <f>SUM(J1041:J1041)</f>
        <v>0</v>
      </c>
      <c r="K1040" s="2864"/>
      <c r="L1040" s="2864"/>
      <c r="M1040" s="2864"/>
      <c r="N1040" s="2864"/>
      <c r="O1040" s="2864"/>
      <c r="P1040" s="2864"/>
      <c r="Q1040" s="2864"/>
    </row>
    <row r="1041" spans="1:15" s="2864" customFormat="1" ht="15" hidden="1" customHeight="1">
      <c r="A1041" s="2891"/>
      <c r="B1041" s="2910"/>
      <c r="C1041" s="2894"/>
      <c r="D1041" s="2894"/>
      <c r="E1041" s="2895"/>
      <c r="F1041" s="2896">
        <f>SUM(G1041:J1041)</f>
        <v>0</v>
      </c>
      <c r="G1041" s="2896"/>
      <c r="H1041" s="2896"/>
      <c r="I1041" s="2896">
        <f>223000-223000</f>
        <v>0</v>
      </c>
      <c r="J1041" s="2897"/>
    </row>
    <row r="1042" spans="1:15" s="2864" customFormat="1" ht="24.95" hidden="1" customHeight="1">
      <c r="A1042" s="2928" t="s">
        <v>1401</v>
      </c>
      <c r="B1042" s="3958" t="s">
        <v>1402</v>
      </c>
      <c r="C1042" s="3958"/>
      <c r="D1042" s="3958"/>
      <c r="E1042" s="3958"/>
      <c r="F1042" s="2929">
        <f>F1044</f>
        <v>0</v>
      </c>
      <c r="G1042" s="2929">
        <f t="shared" ref="G1042:J1042" si="117">G1044</f>
        <v>0</v>
      </c>
      <c r="H1042" s="2929">
        <f t="shared" si="117"/>
        <v>0</v>
      </c>
      <c r="I1042" s="2929">
        <f t="shared" si="117"/>
        <v>0</v>
      </c>
      <c r="J1042" s="2930">
        <f t="shared" si="117"/>
        <v>0</v>
      </c>
    </row>
    <row r="1043" spans="1:15" s="2864" customFormat="1" ht="15" hidden="1" customHeight="1">
      <c r="A1043" s="3931"/>
      <c r="B1043" s="3932"/>
      <c r="C1043" s="3932"/>
      <c r="D1043" s="3932"/>
      <c r="E1043" s="3932"/>
      <c r="F1043" s="3932"/>
      <c r="G1043" s="3932"/>
      <c r="H1043" s="3932"/>
      <c r="I1043" s="3932"/>
      <c r="J1043" s="3933"/>
    </row>
    <row r="1044" spans="1:15" s="2864" customFormat="1" ht="15" hidden="1" customHeight="1">
      <c r="A1044" s="3952" t="s">
        <v>1302</v>
      </c>
      <c r="B1044" s="3953" t="s">
        <v>1403</v>
      </c>
      <c r="C1044" s="3954">
        <v>710</v>
      </c>
      <c r="D1044" s="3955" t="s">
        <v>39</v>
      </c>
      <c r="E1044" s="2898" t="s">
        <v>1304</v>
      </c>
      <c r="F1044" s="2899">
        <f>SUM(F1045,F1055)</f>
        <v>0</v>
      </c>
      <c r="G1044" s="2899">
        <f>SUM(G1045,G1055)</f>
        <v>0</v>
      </c>
      <c r="H1044" s="2899">
        <f>SUM(H1045,H1055)</f>
        <v>0</v>
      </c>
      <c r="I1044" s="2899">
        <f>SUM(I1045,I1055)</f>
        <v>0</v>
      </c>
      <c r="J1044" s="2900">
        <f>SUM(J1045,J1055)</f>
        <v>0</v>
      </c>
      <c r="K1044" s="2914"/>
      <c r="L1044" s="2914"/>
      <c r="M1044" s="2914"/>
      <c r="N1044" s="2914"/>
      <c r="O1044" s="2914"/>
    </row>
    <row r="1045" spans="1:15" s="2864" customFormat="1" ht="15" hidden="1" customHeight="1">
      <c r="A1045" s="3952"/>
      <c r="B1045" s="3953"/>
      <c r="C1045" s="3954"/>
      <c r="D1045" s="3955"/>
      <c r="E1045" s="2901" t="s">
        <v>1017</v>
      </c>
      <c r="F1045" s="2902">
        <f>SUM(F1046,F1049)</f>
        <v>0</v>
      </c>
      <c r="G1045" s="2902">
        <f>SUM(G1046,G1049)</f>
        <v>0</v>
      </c>
      <c r="H1045" s="2902">
        <f>SUM(H1046,H1049)</f>
        <v>0</v>
      </c>
      <c r="I1045" s="2902">
        <f>SUM(I1046,I1049)</f>
        <v>0</v>
      </c>
      <c r="J1045" s="2903">
        <f>SUM(J1046,J1049)</f>
        <v>0</v>
      </c>
      <c r="K1045" s="2865"/>
      <c r="L1045" s="2865"/>
      <c r="M1045" s="2865"/>
      <c r="N1045" s="2865"/>
      <c r="O1045" s="2865"/>
    </row>
    <row r="1046" spans="1:15" s="2864" customFormat="1" ht="15" hidden="1" customHeight="1">
      <c r="A1046" s="3952"/>
      <c r="B1046" s="3953"/>
      <c r="C1046" s="3954"/>
      <c r="D1046" s="3955"/>
      <c r="E1046" s="2904" t="s">
        <v>1311</v>
      </c>
      <c r="F1046" s="2905">
        <f>SUM(F1047:F1048)</f>
        <v>0</v>
      </c>
      <c r="G1046" s="2905">
        <f>SUM(G1047:G1048)</f>
        <v>0</v>
      </c>
      <c r="H1046" s="2905">
        <f>SUM(H1047:H1048)</f>
        <v>0</v>
      </c>
      <c r="I1046" s="2905">
        <f>SUM(I1047:I1048)</f>
        <v>0</v>
      </c>
      <c r="J1046" s="2906">
        <f>SUM(J1047:J1048)</f>
        <v>0</v>
      </c>
    </row>
    <row r="1047" spans="1:15" s="2864" customFormat="1" ht="15" hidden="1" customHeight="1">
      <c r="A1047" s="3952"/>
      <c r="B1047" s="3953"/>
      <c r="C1047" s="3954"/>
      <c r="D1047" s="3955"/>
      <c r="E1047" s="2895"/>
      <c r="F1047" s="2896">
        <f>SUM(G1047:J1047)</f>
        <v>0</v>
      </c>
      <c r="G1047" s="2896"/>
      <c r="H1047" s="2896"/>
      <c r="I1047" s="2896"/>
      <c r="J1047" s="2897"/>
    </row>
    <row r="1048" spans="1:15" s="2864" customFormat="1" ht="15" hidden="1" customHeight="1">
      <c r="A1048" s="3952"/>
      <c r="B1048" s="3953"/>
      <c r="C1048" s="3954"/>
      <c r="D1048" s="3955"/>
      <c r="E1048" s="2895"/>
      <c r="F1048" s="2896">
        <f>SUM(G1048:J1048)</f>
        <v>0</v>
      </c>
      <c r="G1048" s="2896"/>
      <c r="H1048" s="2896"/>
      <c r="I1048" s="2896"/>
      <c r="J1048" s="2897"/>
    </row>
    <row r="1049" spans="1:15" s="2864" customFormat="1" ht="15" hidden="1" customHeight="1">
      <c r="A1049" s="3952"/>
      <c r="B1049" s="3953"/>
      <c r="C1049" s="3954"/>
      <c r="D1049" s="3955"/>
      <c r="E1049" s="2904" t="s">
        <v>1312</v>
      </c>
      <c r="F1049" s="2905">
        <f>SUM(F1050:F1054)</f>
        <v>0</v>
      </c>
      <c r="G1049" s="2905">
        <f>SUM(G1050:G1054)</f>
        <v>0</v>
      </c>
      <c r="H1049" s="2905">
        <f>SUM(H1050:H1054)</f>
        <v>0</v>
      </c>
      <c r="I1049" s="2905">
        <f>SUM(I1050:I1054)</f>
        <v>0</v>
      </c>
      <c r="J1049" s="2906">
        <f>SUM(J1050:J1054)</f>
        <v>0</v>
      </c>
    </row>
    <row r="1050" spans="1:15" s="2864" customFormat="1" ht="15" hidden="1" customHeight="1">
      <c r="A1050" s="3952"/>
      <c r="B1050" s="3953"/>
      <c r="C1050" s="3954"/>
      <c r="D1050" s="3955"/>
      <c r="E1050" s="2895" t="s">
        <v>457</v>
      </c>
      <c r="F1050" s="2896">
        <f>SUM(G1050:J1050)</f>
        <v>0</v>
      </c>
      <c r="G1050" s="2896"/>
      <c r="H1050" s="2896"/>
      <c r="I1050" s="2896"/>
      <c r="J1050" s="2897"/>
    </row>
    <row r="1051" spans="1:15" s="2864" customFormat="1" ht="15" hidden="1" customHeight="1">
      <c r="A1051" s="3952"/>
      <c r="B1051" s="3953"/>
      <c r="C1051" s="3954"/>
      <c r="D1051" s="3955"/>
      <c r="E1051" s="2895" t="s">
        <v>881</v>
      </c>
      <c r="F1051" s="2896">
        <f t="shared" ref="F1051:F1052" si="118">SUM(G1051:J1051)</f>
        <v>0</v>
      </c>
      <c r="G1051" s="2896"/>
      <c r="H1051" s="2896"/>
      <c r="I1051" s="2896"/>
      <c r="J1051" s="2897"/>
    </row>
    <row r="1052" spans="1:15" s="2864" customFormat="1" ht="15" hidden="1" customHeight="1">
      <c r="A1052" s="3952"/>
      <c r="B1052" s="3953"/>
      <c r="C1052" s="3954"/>
      <c r="D1052" s="3955"/>
      <c r="E1052" s="2895" t="s">
        <v>783</v>
      </c>
      <c r="F1052" s="2896">
        <f t="shared" si="118"/>
        <v>0</v>
      </c>
      <c r="G1052" s="2896"/>
      <c r="H1052" s="2896"/>
      <c r="I1052" s="2896"/>
      <c r="J1052" s="2897"/>
    </row>
    <row r="1053" spans="1:15" s="2864" customFormat="1" ht="15" hidden="1" customHeight="1">
      <c r="A1053" s="3952"/>
      <c r="B1053" s="3953"/>
      <c r="C1053" s="3954"/>
      <c r="D1053" s="3955"/>
      <c r="E1053" s="2895" t="s">
        <v>892</v>
      </c>
      <c r="F1053" s="2896">
        <f>SUM(G1053:J1053)</f>
        <v>0</v>
      </c>
      <c r="G1053" s="2896"/>
      <c r="H1053" s="2896"/>
      <c r="I1053" s="2896"/>
      <c r="J1053" s="2897"/>
    </row>
    <row r="1054" spans="1:15" s="2864" customFormat="1" ht="15" hidden="1" customHeight="1">
      <c r="A1054" s="3952"/>
      <c r="B1054" s="3953"/>
      <c r="C1054" s="3954"/>
      <c r="D1054" s="3955"/>
      <c r="E1054" s="2895" t="s">
        <v>846</v>
      </c>
      <c r="F1054" s="2896">
        <f>SUM(G1054:J1054)</f>
        <v>0</v>
      </c>
      <c r="G1054" s="2896"/>
      <c r="H1054" s="2896"/>
      <c r="I1054" s="2896"/>
      <c r="J1054" s="2897"/>
    </row>
    <row r="1055" spans="1:15" s="2864" customFormat="1" ht="15" hidden="1" customHeight="1">
      <c r="A1055" s="3952"/>
      <c r="B1055" s="3953"/>
      <c r="C1055" s="3954">
        <v>720</v>
      </c>
      <c r="D1055" s="3955" t="s">
        <v>990</v>
      </c>
      <c r="E1055" s="2907" t="s">
        <v>1305</v>
      </c>
      <c r="F1055" s="2902">
        <f>SUM(F1056:F1058)</f>
        <v>0</v>
      </c>
      <c r="G1055" s="2902">
        <f t="shared" ref="G1055:I1055" si="119">SUM(G1056:G1058)</f>
        <v>0</v>
      </c>
      <c r="H1055" s="2902">
        <f t="shared" si="119"/>
        <v>0</v>
      </c>
      <c r="I1055" s="2902">
        <f t="shared" si="119"/>
        <v>0</v>
      </c>
      <c r="J1055" s="2903">
        <f>SUM(J1056:J1058)</f>
        <v>0</v>
      </c>
      <c r="K1055" s="2865"/>
      <c r="L1055" s="2865"/>
      <c r="M1055" s="2865"/>
      <c r="N1055" s="2865"/>
      <c r="O1055" s="2865"/>
    </row>
    <row r="1056" spans="1:15" s="2864" customFormat="1" ht="15" hidden="1" customHeight="1">
      <c r="A1056" s="3952"/>
      <c r="B1056" s="3953"/>
      <c r="C1056" s="3954"/>
      <c r="D1056" s="3955"/>
      <c r="E1056" s="2895" t="s">
        <v>821</v>
      </c>
      <c r="F1056" s="2896">
        <f>SUM(G1056:J1056)</f>
        <v>0</v>
      </c>
      <c r="G1056" s="2896"/>
      <c r="H1056" s="2896"/>
      <c r="I1056" s="2896"/>
      <c r="J1056" s="2897"/>
    </row>
    <row r="1057" spans="1:17" s="2864" customFormat="1" ht="15" hidden="1" customHeight="1">
      <c r="A1057" s="3952"/>
      <c r="B1057" s="3953"/>
      <c r="C1057" s="3954"/>
      <c r="D1057" s="3955"/>
      <c r="E1057" s="2895" t="s">
        <v>920</v>
      </c>
      <c r="F1057" s="2896">
        <f>SUM(G1057:J1057)</f>
        <v>0</v>
      </c>
      <c r="G1057" s="2896"/>
      <c r="H1057" s="2896"/>
      <c r="I1057" s="2896"/>
      <c r="J1057" s="2897"/>
    </row>
    <row r="1058" spans="1:17" s="2864" customFormat="1" ht="15" hidden="1" customHeight="1">
      <c r="A1058" s="3952"/>
      <c r="B1058" s="3953"/>
      <c r="C1058" s="3954"/>
      <c r="D1058" s="3955"/>
      <c r="E1058" s="2895" t="s">
        <v>921</v>
      </c>
      <c r="F1058" s="2896">
        <f>SUM(G1058:J1058)</f>
        <v>0</v>
      </c>
      <c r="G1058" s="2896"/>
      <c r="H1058" s="2896"/>
      <c r="I1058" s="2896"/>
      <c r="J1058" s="2897"/>
    </row>
    <row r="1059" spans="1:17" s="2879" customFormat="1" ht="24.95" customHeight="1">
      <c r="A1059" s="2858" t="s">
        <v>1395</v>
      </c>
      <c r="B1059" s="3957" t="s">
        <v>1404</v>
      </c>
      <c r="C1059" s="3957"/>
      <c r="D1059" s="3957"/>
      <c r="E1059" s="3957"/>
      <c r="F1059" s="2926">
        <f>F1061+F1082</f>
        <v>18790</v>
      </c>
      <c r="G1059" s="2926">
        <f t="shared" ref="G1059:J1059" si="120">G1061+G1082</f>
        <v>288</v>
      </c>
      <c r="H1059" s="2926">
        <f t="shared" si="120"/>
        <v>17203</v>
      </c>
      <c r="I1059" s="2926">
        <f t="shared" si="120"/>
        <v>1299</v>
      </c>
      <c r="J1059" s="2927">
        <f t="shared" si="120"/>
        <v>0</v>
      </c>
    </row>
    <row r="1060" spans="1:17" s="2879" customFormat="1" ht="15" customHeight="1">
      <c r="A1060" s="3931"/>
      <c r="B1060" s="3932"/>
      <c r="C1060" s="3932"/>
      <c r="D1060" s="3932"/>
      <c r="E1060" s="3932"/>
      <c r="F1060" s="3932"/>
      <c r="G1060" s="3932"/>
      <c r="H1060" s="3932"/>
      <c r="I1060" s="3932"/>
      <c r="J1060" s="3933"/>
      <c r="K1060" s="2864"/>
      <c r="L1060" s="2864"/>
      <c r="M1060" s="2864"/>
      <c r="N1060" s="2864"/>
      <c r="O1060" s="2864"/>
      <c r="P1060" s="2864"/>
      <c r="Q1060" s="2864"/>
    </row>
    <row r="1061" spans="1:17" s="2879" customFormat="1" ht="22.5" customHeight="1">
      <c r="A1061" s="3910" t="s">
        <v>1302</v>
      </c>
      <c r="B1061" s="3912" t="s">
        <v>1405</v>
      </c>
      <c r="C1061" s="3924">
        <v>750</v>
      </c>
      <c r="D1061" s="3927" t="s">
        <v>1043</v>
      </c>
      <c r="E1061" s="2861" t="s">
        <v>1304</v>
      </c>
      <c r="F1061" s="2862">
        <f>SUM(F1062,F1079)</f>
        <v>15905</v>
      </c>
      <c r="G1061" s="2862">
        <f>SUM(G1062,G1079)</f>
        <v>0</v>
      </c>
      <c r="H1061" s="2862">
        <f>SUM(H1062,H1079)</f>
        <v>14996</v>
      </c>
      <c r="I1061" s="2862">
        <f>SUM(I1062,I1079)</f>
        <v>909</v>
      </c>
      <c r="J1061" s="2863">
        <f>SUM(J1062,J1079)</f>
        <v>0</v>
      </c>
      <c r="K1061" s="2914"/>
      <c r="L1061" s="2914"/>
      <c r="M1061" s="2914"/>
      <c r="N1061" s="2914"/>
      <c r="O1061" s="2914"/>
      <c r="P1061" s="2864"/>
      <c r="Q1061" s="2864"/>
    </row>
    <row r="1062" spans="1:17" s="2879" customFormat="1" ht="15" customHeight="1">
      <c r="A1062" s="3911"/>
      <c r="B1062" s="3913"/>
      <c r="C1062" s="3925"/>
      <c r="D1062" s="3928"/>
      <c r="E1062" s="2866" t="s">
        <v>1017</v>
      </c>
      <c r="F1062" s="2867">
        <f>SUM(F1063,F1070)</f>
        <v>15905</v>
      </c>
      <c r="G1062" s="2867">
        <f>SUM(G1063,G1070)</f>
        <v>0</v>
      </c>
      <c r="H1062" s="2867">
        <f>SUM(H1063,H1070)</f>
        <v>14996</v>
      </c>
      <c r="I1062" s="2867">
        <f>SUM(I1063,I1070)</f>
        <v>909</v>
      </c>
      <c r="J1062" s="2868">
        <f>SUM(J1063,J1070)</f>
        <v>0</v>
      </c>
      <c r="K1062" s="2865"/>
      <c r="L1062" s="2865"/>
      <c r="M1062" s="2865"/>
      <c r="N1062" s="2865"/>
      <c r="O1062" s="2865"/>
      <c r="P1062" s="2864"/>
      <c r="Q1062" s="2864"/>
    </row>
    <row r="1063" spans="1:17" s="2879" customFormat="1" ht="22.5">
      <c r="A1063" s="3911"/>
      <c r="B1063" s="3913"/>
      <c r="C1063" s="3925"/>
      <c r="D1063" s="3928"/>
      <c r="E1063" s="2880" t="s">
        <v>1311</v>
      </c>
      <c r="F1063" s="2881">
        <f>SUM(F1064:F1069)</f>
        <v>15905</v>
      </c>
      <c r="G1063" s="2881">
        <f t="shared" ref="G1063:J1063" si="121">SUM(G1064:G1069)</f>
        <v>0</v>
      </c>
      <c r="H1063" s="2881">
        <f t="shared" si="121"/>
        <v>14996</v>
      </c>
      <c r="I1063" s="2881">
        <f t="shared" si="121"/>
        <v>909</v>
      </c>
      <c r="J1063" s="2882">
        <f t="shared" si="121"/>
        <v>0</v>
      </c>
      <c r="K1063" s="2865"/>
      <c r="L1063" s="2865"/>
      <c r="M1063" s="2865"/>
      <c r="N1063" s="2865"/>
      <c r="O1063" s="2865"/>
      <c r="P1063" s="2864"/>
      <c r="Q1063" s="2864"/>
    </row>
    <row r="1064" spans="1:17" s="2879" customFormat="1" ht="15" customHeight="1">
      <c r="A1064" s="3911"/>
      <c r="B1064" s="3913"/>
      <c r="C1064" s="3925"/>
      <c r="D1064" s="3928"/>
      <c r="E1064" s="2869" t="s">
        <v>887</v>
      </c>
      <c r="F1064" s="2870">
        <f>SUM(G1064:J1064)</f>
        <v>12447</v>
      </c>
      <c r="G1064" s="2870"/>
      <c r="H1064" s="2870">
        <v>12447</v>
      </c>
      <c r="I1064" s="2870"/>
      <c r="J1064" s="2871"/>
      <c r="K1064" s="2864"/>
      <c r="L1064" s="2864"/>
      <c r="M1064" s="2864"/>
      <c r="N1064" s="2864"/>
      <c r="O1064" s="2864"/>
      <c r="P1064" s="2864"/>
      <c r="Q1064" s="2864"/>
    </row>
    <row r="1065" spans="1:17" s="2879" customFormat="1" ht="15" customHeight="1">
      <c r="A1065" s="3911"/>
      <c r="B1065" s="3913"/>
      <c r="C1065" s="3925"/>
      <c r="D1065" s="3928"/>
      <c r="E1065" s="2869" t="s">
        <v>829</v>
      </c>
      <c r="F1065" s="2870">
        <f t="shared" ref="F1065:F1069" si="122">SUM(G1065:J1065)</f>
        <v>754</v>
      </c>
      <c r="G1065" s="2870"/>
      <c r="H1065" s="2870"/>
      <c r="I1065" s="2870">
        <v>754</v>
      </c>
      <c r="J1065" s="2871"/>
      <c r="K1065" s="2864"/>
      <c r="L1065" s="2864"/>
      <c r="M1065" s="2864"/>
      <c r="N1065" s="2864"/>
      <c r="O1065" s="2864"/>
      <c r="P1065" s="2864"/>
      <c r="Q1065" s="2864"/>
    </row>
    <row r="1066" spans="1:17" s="2879" customFormat="1" ht="15" customHeight="1">
      <c r="A1066" s="3911"/>
      <c r="B1066" s="3913"/>
      <c r="C1066" s="3925"/>
      <c r="D1066" s="3928"/>
      <c r="E1066" s="2869" t="s">
        <v>889</v>
      </c>
      <c r="F1066" s="2870">
        <f t="shared" si="122"/>
        <v>2232</v>
      </c>
      <c r="G1066" s="2870"/>
      <c r="H1066" s="2870">
        <v>2232</v>
      </c>
      <c r="I1066" s="2870"/>
      <c r="J1066" s="2871"/>
      <c r="K1066" s="2864"/>
      <c r="L1066" s="2864"/>
      <c r="M1066" s="2864"/>
      <c r="N1066" s="2864"/>
      <c r="O1066" s="2864"/>
      <c r="P1066" s="2864"/>
      <c r="Q1066" s="2864"/>
    </row>
    <row r="1067" spans="1:17" s="2879" customFormat="1" ht="15" customHeight="1">
      <c r="A1067" s="3911"/>
      <c r="B1067" s="3913"/>
      <c r="C1067" s="3925"/>
      <c r="D1067" s="3928"/>
      <c r="E1067" s="2869" t="s">
        <v>833</v>
      </c>
      <c r="F1067" s="2870">
        <f t="shared" si="122"/>
        <v>136</v>
      </c>
      <c r="G1067" s="2870"/>
      <c r="H1067" s="2870"/>
      <c r="I1067" s="2870">
        <v>136</v>
      </c>
      <c r="J1067" s="2871"/>
      <c r="K1067" s="2864"/>
      <c r="L1067" s="2864"/>
      <c r="M1067" s="2864"/>
      <c r="N1067" s="2864"/>
      <c r="O1067" s="2864"/>
      <c r="P1067" s="2864"/>
      <c r="Q1067" s="2864"/>
    </row>
    <row r="1068" spans="1:17" s="2879" customFormat="1" ht="15" customHeight="1">
      <c r="A1068" s="3911"/>
      <c r="B1068" s="3913"/>
      <c r="C1068" s="3925"/>
      <c r="D1068" s="3928"/>
      <c r="E1068" s="2869" t="s">
        <v>890</v>
      </c>
      <c r="F1068" s="2870">
        <f t="shared" si="122"/>
        <v>317</v>
      </c>
      <c r="G1068" s="2870"/>
      <c r="H1068" s="2870">
        <v>317</v>
      </c>
      <c r="I1068" s="2870"/>
      <c r="J1068" s="2871"/>
      <c r="K1068" s="2864"/>
      <c r="L1068" s="2864"/>
      <c r="M1068" s="2864"/>
      <c r="N1068" s="2864"/>
      <c r="O1068" s="2864"/>
      <c r="P1068" s="2864"/>
      <c r="Q1068" s="2864"/>
    </row>
    <row r="1069" spans="1:17" s="2879" customFormat="1" ht="15" customHeight="1">
      <c r="A1069" s="3911"/>
      <c r="B1069" s="3913"/>
      <c r="C1069" s="3925"/>
      <c r="D1069" s="3928"/>
      <c r="E1069" s="2869" t="s">
        <v>835</v>
      </c>
      <c r="F1069" s="2870">
        <f t="shared" si="122"/>
        <v>19</v>
      </c>
      <c r="G1069" s="2870"/>
      <c r="H1069" s="2870"/>
      <c r="I1069" s="2870">
        <v>19</v>
      </c>
      <c r="J1069" s="2871"/>
      <c r="K1069" s="2864"/>
      <c r="L1069" s="2864"/>
      <c r="M1069" s="2864"/>
      <c r="N1069" s="2864"/>
      <c r="O1069" s="2864"/>
      <c r="P1069" s="2864"/>
      <c r="Q1069" s="2864"/>
    </row>
    <row r="1070" spans="1:17" s="2879" customFormat="1" ht="22.5" hidden="1" customHeight="1">
      <c r="A1070" s="3911"/>
      <c r="B1070" s="3913"/>
      <c r="C1070" s="3925"/>
      <c r="D1070" s="3928"/>
      <c r="E1070" s="2880" t="s">
        <v>1312</v>
      </c>
      <c r="F1070" s="2881">
        <f>SUM(F1071:F1078)</f>
        <v>0</v>
      </c>
      <c r="G1070" s="2881">
        <f>SUM(G1071:G1078)</f>
        <v>0</v>
      </c>
      <c r="H1070" s="2881">
        <f>SUM(H1071:H1078)</f>
        <v>0</v>
      </c>
      <c r="I1070" s="2881">
        <f>SUM(I1071:I1078)</f>
        <v>0</v>
      </c>
      <c r="J1070" s="2882">
        <f>SUM(J1071:J1078)</f>
        <v>0</v>
      </c>
      <c r="K1070" s="2864"/>
      <c r="L1070" s="2864"/>
      <c r="M1070" s="2864"/>
      <c r="N1070" s="2864"/>
      <c r="O1070" s="2864"/>
      <c r="P1070" s="2864"/>
      <c r="Q1070" s="2864"/>
    </row>
    <row r="1071" spans="1:17" s="2879" customFormat="1" ht="15" hidden="1" customHeight="1">
      <c r="A1071" s="3911"/>
      <c r="B1071" s="3913"/>
      <c r="C1071" s="3925"/>
      <c r="D1071" s="3928"/>
      <c r="E1071" s="2869" t="s">
        <v>891</v>
      </c>
      <c r="F1071" s="2870">
        <f>SUM(G1071:J1071)</f>
        <v>0</v>
      </c>
      <c r="G1071" s="2870"/>
      <c r="H1071" s="2870"/>
      <c r="I1071" s="2870"/>
      <c r="J1071" s="2871"/>
      <c r="K1071" s="2864"/>
      <c r="L1071" s="2864"/>
      <c r="M1071" s="2864"/>
      <c r="N1071" s="2864"/>
      <c r="O1071" s="2864"/>
      <c r="P1071" s="2864"/>
      <c r="Q1071" s="2864"/>
    </row>
    <row r="1072" spans="1:17" s="2879" customFormat="1" ht="15" hidden="1" customHeight="1">
      <c r="A1072" s="3911"/>
      <c r="B1072" s="3913"/>
      <c r="C1072" s="3925"/>
      <c r="D1072" s="3928"/>
      <c r="E1072" s="2869" t="s">
        <v>842</v>
      </c>
      <c r="F1072" s="2870">
        <f t="shared" ref="F1072:F1078" si="123">SUM(G1072:J1072)</f>
        <v>0</v>
      </c>
      <c r="G1072" s="2870"/>
      <c r="H1072" s="2870"/>
      <c r="I1072" s="2870"/>
      <c r="J1072" s="2871"/>
      <c r="K1072" s="2864"/>
      <c r="L1072" s="2864"/>
      <c r="M1072" s="2864"/>
      <c r="N1072" s="2864"/>
      <c r="O1072" s="2864"/>
      <c r="P1072" s="2864"/>
      <c r="Q1072" s="2864"/>
    </row>
    <row r="1073" spans="1:17" s="2879" customFormat="1" ht="15" hidden="1" customHeight="1">
      <c r="A1073" s="3911"/>
      <c r="B1073" s="3913"/>
      <c r="C1073" s="3925"/>
      <c r="D1073" s="3928"/>
      <c r="E1073" s="2869" t="s">
        <v>892</v>
      </c>
      <c r="F1073" s="2870">
        <f t="shared" si="123"/>
        <v>0</v>
      </c>
      <c r="G1073" s="2870"/>
      <c r="H1073" s="2870"/>
      <c r="I1073" s="2870"/>
      <c r="J1073" s="2871"/>
      <c r="K1073" s="2864"/>
      <c r="L1073" s="2864"/>
      <c r="M1073" s="2864"/>
      <c r="N1073" s="2864"/>
      <c r="O1073" s="2864"/>
      <c r="P1073" s="2864"/>
      <c r="Q1073" s="2864"/>
    </row>
    <row r="1074" spans="1:17" s="2879" customFormat="1" ht="15" hidden="1" customHeight="1">
      <c r="A1074" s="3911"/>
      <c r="B1074" s="3913"/>
      <c r="C1074" s="3925"/>
      <c r="D1074" s="3928"/>
      <c r="E1074" s="2869" t="s">
        <v>846</v>
      </c>
      <c r="F1074" s="2870">
        <f t="shared" si="123"/>
        <v>0</v>
      </c>
      <c r="G1074" s="2870"/>
      <c r="H1074" s="2870"/>
      <c r="I1074" s="2870"/>
      <c r="J1074" s="2871"/>
      <c r="K1074" s="2864"/>
      <c r="L1074" s="2864"/>
      <c r="M1074" s="2864"/>
      <c r="N1074" s="2864"/>
      <c r="O1074" s="2864"/>
      <c r="P1074" s="2864"/>
      <c r="Q1074" s="2864"/>
    </row>
    <row r="1075" spans="1:17" s="2879" customFormat="1" ht="15" hidden="1" customHeight="1">
      <c r="A1075" s="3911"/>
      <c r="B1075" s="3913"/>
      <c r="C1075" s="3925"/>
      <c r="D1075" s="3928"/>
      <c r="E1075" s="2869" t="s">
        <v>894</v>
      </c>
      <c r="F1075" s="2870">
        <f t="shared" si="123"/>
        <v>0</v>
      </c>
      <c r="G1075" s="2870"/>
      <c r="H1075" s="2870"/>
      <c r="I1075" s="2870"/>
      <c r="J1075" s="2871"/>
      <c r="K1075" s="2864"/>
      <c r="L1075" s="2864"/>
      <c r="M1075" s="2864"/>
      <c r="N1075" s="2864"/>
      <c r="O1075" s="2864"/>
      <c r="P1075" s="2864"/>
      <c r="Q1075" s="2864"/>
    </row>
    <row r="1076" spans="1:17" s="2879" customFormat="1" ht="15" hidden="1" customHeight="1">
      <c r="A1076" s="3911"/>
      <c r="B1076" s="3913"/>
      <c r="C1076" s="3925"/>
      <c r="D1076" s="3928"/>
      <c r="E1076" s="2869" t="s">
        <v>850</v>
      </c>
      <c r="F1076" s="2870">
        <f t="shared" si="123"/>
        <v>0</v>
      </c>
      <c r="G1076" s="2870"/>
      <c r="H1076" s="2870"/>
      <c r="I1076" s="2870"/>
      <c r="J1076" s="2871"/>
      <c r="K1076" s="2864"/>
      <c r="L1076" s="2864"/>
      <c r="M1076" s="2864"/>
      <c r="N1076" s="2864"/>
      <c r="O1076" s="2864"/>
      <c r="P1076" s="2864"/>
      <c r="Q1076" s="2864"/>
    </row>
    <row r="1077" spans="1:17" s="2879" customFormat="1" ht="15" hidden="1" customHeight="1">
      <c r="A1077" s="3911"/>
      <c r="B1077" s="3913"/>
      <c r="C1077" s="3925"/>
      <c r="D1077" s="3928"/>
      <c r="E1077" s="2869" t="s">
        <v>895</v>
      </c>
      <c r="F1077" s="2870">
        <f t="shared" si="123"/>
        <v>0</v>
      </c>
      <c r="G1077" s="2870"/>
      <c r="H1077" s="2870"/>
      <c r="I1077" s="2870"/>
      <c r="J1077" s="2871"/>
      <c r="K1077" s="2864"/>
      <c r="L1077" s="2864"/>
      <c r="M1077" s="2864"/>
      <c r="N1077" s="2864"/>
      <c r="O1077" s="2864"/>
      <c r="P1077" s="2864"/>
      <c r="Q1077" s="2864"/>
    </row>
    <row r="1078" spans="1:17" s="2879" customFormat="1" ht="15" hidden="1" customHeight="1">
      <c r="A1078" s="3911"/>
      <c r="B1078" s="3913"/>
      <c r="C1078" s="3925"/>
      <c r="D1078" s="3928"/>
      <c r="E1078" s="2869" t="s">
        <v>854</v>
      </c>
      <c r="F1078" s="2870">
        <f t="shared" si="123"/>
        <v>0</v>
      </c>
      <c r="G1078" s="2870"/>
      <c r="H1078" s="2870"/>
      <c r="I1078" s="2870"/>
      <c r="J1078" s="2871"/>
      <c r="K1078" s="2864"/>
      <c r="L1078" s="2864"/>
      <c r="M1078" s="2864"/>
      <c r="N1078" s="2864"/>
      <c r="O1078" s="2864"/>
      <c r="P1078" s="2864"/>
      <c r="Q1078" s="2864"/>
    </row>
    <row r="1079" spans="1:17" s="2879" customFormat="1" ht="15" customHeight="1">
      <c r="A1079" s="3920"/>
      <c r="B1079" s="3937"/>
      <c r="C1079" s="3926"/>
      <c r="D1079" s="3929"/>
      <c r="E1079" s="2872" t="s">
        <v>1305</v>
      </c>
      <c r="F1079" s="2867">
        <f>SUM(F1080:F1081)</f>
        <v>0</v>
      </c>
      <c r="G1079" s="2867">
        <f>SUM(G1080:G1081)</f>
        <v>0</v>
      </c>
      <c r="H1079" s="2867">
        <f>SUM(H1080:H1081)</f>
        <v>0</v>
      </c>
      <c r="I1079" s="2867">
        <f>SUM(I1080:I1081)</f>
        <v>0</v>
      </c>
      <c r="J1079" s="2868">
        <f>SUM(J1080:J1081)</f>
        <v>0</v>
      </c>
      <c r="K1079" s="2865"/>
      <c r="L1079" s="2865"/>
      <c r="M1079" s="2865"/>
      <c r="N1079" s="2865"/>
      <c r="O1079" s="2864"/>
      <c r="P1079" s="2864"/>
      <c r="Q1079" s="2864"/>
    </row>
    <row r="1080" spans="1:17" s="2879" customFormat="1" ht="15" hidden="1" customHeight="1">
      <c r="A1080" s="2883"/>
      <c r="B1080" s="2924"/>
      <c r="C1080" s="2885"/>
      <c r="D1080" s="2886"/>
      <c r="E1080" s="2869" t="s">
        <v>897</v>
      </c>
      <c r="F1080" s="2870">
        <f>SUM(G1080:J1080)</f>
        <v>0</v>
      </c>
      <c r="G1080" s="2870"/>
      <c r="H1080" s="2870"/>
      <c r="I1080" s="2870"/>
      <c r="J1080" s="2871"/>
      <c r="K1080" s="2864"/>
      <c r="L1080" s="2864"/>
      <c r="M1080" s="2864"/>
      <c r="N1080" s="2864"/>
      <c r="O1080" s="2864"/>
      <c r="P1080" s="2864"/>
      <c r="Q1080" s="2864"/>
    </row>
    <row r="1081" spans="1:17" s="2879" customFormat="1" ht="15" hidden="1" customHeight="1">
      <c r="A1081" s="2887"/>
      <c r="B1081" s="2931"/>
      <c r="C1081" s="2889"/>
      <c r="D1081" s="2890"/>
      <c r="E1081" s="2869" t="s">
        <v>918</v>
      </c>
      <c r="F1081" s="2870">
        <f>SUM(G1081:J1081)</f>
        <v>0</v>
      </c>
      <c r="G1081" s="2870"/>
      <c r="H1081" s="2870"/>
      <c r="I1081" s="2870"/>
      <c r="J1081" s="2871"/>
      <c r="K1081" s="2864"/>
      <c r="L1081" s="2864"/>
      <c r="M1081" s="2864"/>
      <c r="N1081" s="2864"/>
      <c r="O1081" s="2864"/>
      <c r="P1081" s="2864"/>
      <c r="Q1081" s="2864"/>
    </row>
    <row r="1082" spans="1:17" s="2864" customFormat="1" ht="22.5">
      <c r="A1082" s="3934" t="s">
        <v>1306</v>
      </c>
      <c r="B1082" s="3935" t="s">
        <v>1406</v>
      </c>
      <c r="C1082" s="3939" t="s">
        <v>40</v>
      </c>
      <c r="D1082" s="3939" t="s">
        <v>1043</v>
      </c>
      <c r="E1082" s="2861" t="s">
        <v>1304</v>
      </c>
      <c r="F1082" s="2862">
        <f>SUM(F1083,F1100)</f>
        <v>2885</v>
      </c>
      <c r="G1082" s="2862">
        <f>SUM(G1083,G1100)</f>
        <v>288</v>
      </c>
      <c r="H1082" s="2862">
        <f>SUM(H1083,H1100)</f>
        <v>2207</v>
      </c>
      <c r="I1082" s="2862">
        <f>SUM(I1083,I1100)</f>
        <v>390</v>
      </c>
      <c r="J1082" s="2863">
        <f>SUM(J1083,J1100)</f>
        <v>0</v>
      </c>
    </row>
    <row r="1083" spans="1:17" s="2864" customFormat="1" ht="21">
      <c r="A1083" s="3934"/>
      <c r="B1083" s="3935"/>
      <c r="C1083" s="3939"/>
      <c r="D1083" s="3939"/>
      <c r="E1083" s="2866" t="s">
        <v>1310</v>
      </c>
      <c r="F1083" s="2867">
        <f>SUM(F1084,F1087,F1096)</f>
        <v>2885</v>
      </c>
      <c r="G1083" s="2867">
        <f>SUM(G1084,G1087,G1096)</f>
        <v>288</v>
      </c>
      <c r="H1083" s="2867">
        <f>SUM(H1084,H1087,H1096)</f>
        <v>2207</v>
      </c>
      <c r="I1083" s="2867">
        <f>SUM(I1084,I1087,I1096)</f>
        <v>390</v>
      </c>
      <c r="J1083" s="2868">
        <f>SUM(J1084,J1087,J1096)</f>
        <v>0</v>
      </c>
    </row>
    <row r="1084" spans="1:17" s="2864" customFormat="1" ht="22.5" hidden="1">
      <c r="A1084" s="3934"/>
      <c r="B1084" s="3935"/>
      <c r="C1084" s="3939"/>
      <c r="D1084" s="3939"/>
      <c r="E1084" s="2880" t="s">
        <v>1377</v>
      </c>
      <c r="F1084" s="2881">
        <f>SUM(F1085:F1086)</f>
        <v>0</v>
      </c>
      <c r="G1084" s="2881">
        <f t="shared" ref="G1084:J1084" si="124">SUM(G1085:G1086)</f>
        <v>0</v>
      </c>
      <c r="H1084" s="2881">
        <f t="shared" si="124"/>
        <v>0</v>
      </c>
      <c r="I1084" s="2881">
        <f t="shared" si="124"/>
        <v>0</v>
      </c>
      <c r="J1084" s="2882">
        <f t="shared" si="124"/>
        <v>0</v>
      </c>
    </row>
    <row r="1085" spans="1:17" s="2864" customFormat="1" ht="15" hidden="1" customHeight="1">
      <c r="A1085" s="3934"/>
      <c r="B1085" s="3935"/>
      <c r="C1085" s="3939"/>
      <c r="D1085" s="3939"/>
      <c r="E1085" s="2869" t="s">
        <v>484</v>
      </c>
      <c r="F1085" s="2870">
        <f t="shared" ref="F1085:F1086" si="125">SUM(G1085:J1085)</f>
        <v>0</v>
      </c>
      <c r="G1085" s="2870"/>
      <c r="H1085" s="2870"/>
      <c r="I1085" s="2870"/>
      <c r="J1085" s="2871"/>
    </row>
    <row r="1086" spans="1:17" s="2864" customFormat="1" ht="15" hidden="1" customHeight="1">
      <c r="A1086" s="3934"/>
      <c r="B1086" s="3935"/>
      <c r="C1086" s="3939"/>
      <c r="D1086" s="3939"/>
      <c r="E1086" s="2869" t="s">
        <v>649</v>
      </c>
      <c r="F1086" s="2870">
        <f t="shared" si="125"/>
        <v>0</v>
      </c>
      <c r="G1086" s="2870"/>
      <c r="H1086" s="2870"/>
      <c r="I1086" s="2870"/>
      <c r="J1086" s="2871"/>
    </row>
    <row r="1087" spans="1:17" s="2864" customFormat="1" ht="22.5">
      <c r="A1087" s="3934"/>
      <c r="B1087" s="3935"/>
      <c r="C1087" s="3939"/>
      <c r="D1087" s="3939"/>
      <c r="E1087" s="2880" t="s">
        <v>1311</v>
      </c>
      <c r="F1087" s="2881">
        <f>SUM(F1088:F1095)</f>
        <v>2885</v>
      </c>
      <c r="G1087" s="2881">
        <f t="shared" ref="G1087:J1087" si="126">SUM(G1088:G1095)</f>
        <v>288</v>
      </c>
      <c r="H1087" s="2881">
        <f t="shared" si="126"/>
        <v>2207</v>
      </c>
      <c r="I1087" s="2881">
        <f t="shared" si="126"/>
        <v>390</v>
      </c>
      <c r="J1087" s="2882">
        <f t="shared" si="126"/>
        <v>0</v>
      </c>
    </row>
    <row r="1088" spans="1:17" s="2864" customFormat="1" ht="15" customHeight="1">
      <c r="A1088" s="3934"/>
      <c r="B1088" s="3935"/>
      <c r="C1088" s="3939"/>
      <c r="D1088" s="3939"/>
      <c r="E1088" s="2869" t="s">
        <v>828</v>
      </c>
      <c r="F1088" s="2870">
        <f t="shared" ref="F1088:F1095" si="127">SUM(G1088:J1088)</f>
        <v>1832</v>
      </c>
      <c r="G1088" s="2870"/>
      <c r="H1088" s="2870">
        <v>1832</v>
      </c>
      <c r="I1088" s="2870"/>
      <c r="J1088" s="2871"/>
    </row>
    <row r="1089" spans="1:17" s="2864" customFormat="1" ht="15" customHeight="1">
      <c r="A1089" s="3934"/>
      <c r="B1089" s="3935"/>
      <c r="C1089" s="3939"/>
      <c r="D1089" s="3939"/>
      <c r="E1089" s="2869" t="s">
        <v>829</v>
      </c>
      <c r="F1089" s="2870">
        <f t="shared" si="127"/>
        <v>562</v>
      </c>
      <c r="G1089" s="2870">
        <v>239</v>
      </c>
      <c r="H1089" s="2870"/>
      <c r="I1089" s="2870">
        <v>323</v>
      </c>
      <c r="J1089" s="2871"/>
    </row>
    <row r="1090" spans="1:17" s="2864" customFormat="1" ht="15" customHeight="1">
      <c r="A1090" s="3934"/>
      <c r="B1090" s="3935"/>
      <c r="C1090" s="3939"/>
      <c r="D1090" s="3939"/>
      <c r="E1090" s="2869" t="s">
        <v>832</v>
      </c>
      <c r="F1090" s="2870">
        <f t="shared" si="127"/>
        <v>316</v>
      </c>
      <c r="G1090" s="2870"/>
      <c r="H1090" s="2870">
        <v>316</v>
      </c>
      <c r="I1090" s="2870"/>
      <c r="J1090" s="2871"/>
    </row>
    <row r="1091" spans="1:17" s="2864" customFormat="1" ht="15" customHeight="1">
      <c r="A1091" s="3934"/>
      <c r="B1091" s="3935"/>
      <c r="C1091" s="3939"/>
      <c r="D1091" s="3939"/>
      <c r="E1091" s="2869" t="s">
        <v>833</v>
      </c>
      <c r="F1091" s="2870">
        <f t="shared" si="127"/>
        <v>97</v>
      </c>
      <c r="G1091" s="2870">
        <v>41</v>
      </c>
      <c r="H1091" s="2870"/>
      <c r="I1091" s="2870">
        <v>56</v>
      </c>
      <c r="J1091" s="2871"/>
    </row>
    <row r="1092" spans="1:17" s="2864" customFormat="1" ht="15" customHeight="1">
      <c r="A1092" s="3934"/>
      <c r="B1092" s="3935"/>
      <c r="C1092" s="3939"/>
      <c r="D1092" s="3939"/>
      <c r="E1092" s="2869" t="s">
        <v>834</v>
      </c>
      <c r="F1092" s="2870">
        <f t="shared" si="127"/>
        <v>45</v>
      </c>
      <c r="G1092" s="2870"/>
      <c r="H1092" s="2870">
        <v>45</v>
      </c>
      <c r="I1092" s="2870"/>
      <c r="J1092" s="2871"/>
    </row>
    <row r="1093" spans="1:17" s="2864" customFormat="1" ht="15" customHeight="1">
      <c r="A1093" s="3934"/>
      <c r="B1093" s="3935"/>
      <c r="C1093" s="3939"/>
      <c r="D1093" s="3939"/>
      <c r="E1093" s="2869" t="s">
        <v>835</v>
      </c>
      <c r="F1093" s="2870">
        <f t="shared" si="127"/>
        <v>14</v>
      </c>
      <c r="G1093" s="2870">
        <v>6</v>
      </c>
      <c r="H1093" s="2870"/>
      <c r="I1093" s="2870">
        <v>8</v>
      </c>
      <c r="J1093" s="2871"/>
    </row>
    <row r="1094" spans="1:17" s="2864" customFormat="1" ht="15" customHeight="1">
      <c r="A1094" s="3934"/>
      <c r="B1094" s="3935"/>
      <c r="C1094" s="3939"/>
      <c r="D1094" s="3939"/>
      <c r="E1094" s="2869" t="s">
        <v>855</v>
      </c>
      <c r="F1094" s="2870">
        <f t="shared" si="127"/>
        <v>14</v>
      </c>
      <c r="G1094" s="2870"/>
      <c r="H1094" s="2870">
        <v>14</v>
      </c>
      <c r="I1094" s="2870"/>
      <c r="J1094" s="2871"/>
    </row>
    <row r="1095" spans="1:17" s="2864" customFormat="1" ht="15" customHeight="1">
      <c r="A1095" s="3934"/>
      <c r="B1095" s="3935"/>
      <c r="C1095" s="3939"/>
      <c r="D1095" s="3939"/>
      <c r="E1095" s="2869" t="s">
        <v>856</v>
      </c>
      <c r="F1095" s="2870">
        <f t="shared" si="127"/>
        <v>5</v>
      </c>
      <c r="G1095" s="2870">
        <v>2</v>
      </c>
      <c r="H1095" s="2870"/>
      <c r="I1095" s="2870">
        <v>3</v>
      </c>
      <c r="J1095" s="2871"/>
    </row>
    <row r="1096" spans="1:17" s="2864" customFormat="1" ht="22.5" hidden="1">
      <c r="A1096" s="3934"/>
      <c r="B1096" s="3935"/>
      <c r="C1096" s="3939"/>
      <c r="D1096" s="3939"/>
      <c r="E1096" s="2880" t="s">
        <v>1312</v>
      </c>
      <c r="F1096" s="2881">
        <f>SUM(F1097:F1099)</f>
        <v>0</v>
      </c>
      <c r="G1096" s="2881">
        <f>SUM(G1097:G1099)</f>
        <v>0</v>
      </c>
      <c r="H1096" s="2881">
        <f>SUM(H1097:H1099)</f>
        <v>0</v>
      </c>
      <c r="I1096" s="2881">
        <f>SUM(I1097:I1099)</f>
        <v>0</v>
      </c>
      <c r="J1096" s="2882">
        <f>SUM(J1097:J1099)</f>
        <v>0</v>
      </c>
    </row>
    <row r="1097" spans="1:17" s="2864" customFormat="1" ht="15" hidden="1" customHeight="1">
      <c r="A1097" s="3934"/>
      <c r="B1097" s="3935"/>
      <c r="C1097" s="3939"/>
      <c r="D1097" s="3939"/>
      <c r="E1097" s="2869"/>
      <c r="F1097" s="2870">
        <f t="shared" ref="F1097:F1099" si="128">SUM(G1097:J1097)</f>
        <v>0</v>
      </c>
      <c r="G1097" s="2870"/>
      <c r="H1097" s="2870"/>
      <c r="I1097" s="2870"/>
      <c r="J1097" s="2871"/>
    </row>
    <row r="1098" spans="1:17" s="2864" customFormat="1" ht="15" hidden="1" customHeight="1">
      <c r="A1098" s="3934"/>
      <c r="B1098" s="3935"/>
      <c r="C1098" s="3939"/>
      <c r="D1098" s="3939"/>
      <c r="E1098" s="2869"/>
      <c r="F1098" s="2870">
        <f t="shared" si="128"/>
        <v>0</v>
      </c>
      <c r="G1098" s="2870"/>
      <c r="H1098" s="2870"/>
      <c r="I1098" s="2870"/>
      <c r="J1098" s="2871"/>
    </row>
    <row r="1099" spans="1:17" s="2864" customFormat="1" ht="15" hidden="1" customHeight="1">
      <c r="A1099" s="3934"/>
      <c r="B1099" s="3935"/>
      <c r="C1099" s="3939"/>
      <c r="D1099" s="3939"/>
      <c r="E1099" s="2869"/>
      <c r="F1099" s="2870">
        <f t="shared" si="128"/>
        <v>0</v>
      </c>
      <c r="G1099" s="2870"/>
      <c r="H1099" s="2870"/>
      <c r="I1099" s="2870"/>
      <c r="J1099" s="2871"/>
    </row>
    <row r="1100" spans="1:17" s="2864" customFormat="1" ht="15" customHeight="1">
      <c r="A1100" s="3934"/>
      <c r="B1100" s="3935"/>
      <c r="C1100" s="3939"/>
      <c r="D1100" s="3939"/>
      <c r="E1100" s="2872" t="s">
        <v>1305</v>
      </c>
      <c r="F1100" s="2867">
        <f>SUM(F1101:F1102)</f>
        <v>0</v>
      </c>
      <c r="G1100" s="2867">
        <f>SUM(G1101:G1102)</f>
        <v>0</v>
      </c>
      <c r="H1100" s="2867">
        <f>SUM(H1101:H1102)</f>
        <v>0</v>
      </c>
      <c r="I1100" s="2867">
        <f>SUM(I1101:I1102)</f>
        <v>0</v>
      </c>
      <c r="J1100" s="2868">
        <f>SUM(J1101:J1102)</f>
        <v>0</v>
      </c>
    </row>
    <row r="1101" spans="1:17" s="2864" customFormat="1" ht="15" hidden="1" customHeight="1">
      <c r="A1101" s="3934"/>
      <c r="B1101" s="3935"/>
      <c r="C1101" s="3939"/>
      <c r="D1101" s="3939"/>
      <c r="E1101" s="2869"/>
      <c r="F1101" s="2870">
        <f>SUM(G1101:J1101)</f>
        <v>0</v>
      </c>
      <c r="G1101" s="2870"/>
      <c r="H1101" s="2870"/>
      <c r="I1101" s="2870"/>
      <c r="J1101" s="2871"/>
    </row>
    <row r="1102" spans="1:17" s="2864" customFormat="1" ht="15" hidden="1" customHeight="1">
      <c r="A1102" s="3934"/>
      <c r="B1102" s="3935"/>
      <c r="C1102" s="3939"/>
      <c r="D1102" s="3939"/>
      <c r="E1102" s="2874"/>
      <c r="F1102" s="2870">
        <f>SUM(G1102:J1102)</f>
        <v>0</v>
      </c>
      <c r="G1102" s="2870"/>
      <c r="H1102" s="2870"/>
      <c r="I1102" s="2870"/>
      <c r="J1102" s="2871"/>
    </row>
    <row r="1103" spans="1:17" s="2879" customFormat="1" ht="24.95" customHeight="1">
      <c r="A1103" s="2858" t="s">
        <v>1398</v>
      </c>
      <c r="B1103" s="3930" t="s">
        <v>1407</v>
      </c>
      <c r="C1103" s="3930"/>
      <c r="D1103" s="3930"/>
      <c r="E1103" s="3930"/>
      <c r="F1103" s="2926">
        <f>F1105+F1113+F1139+F1186+F1248</f>
        <v>42370868</v>
      </c>
      <c r="G1103" s="2926">
        <f t="shared" ref="G1103:J1103" si="129">G1105+G1113+G1139+G1186+G1248</f>
        <v>3018843</v>
      </c>
      <c r="H1103" s="2926">
        <f t="shared" si="129"/>
        <v>4397</v>
      </c>
      <c r="I1103" s="2926">
        <f t="shared" si="129"/>
        <v>39347628</v>
      </c>
      <c r="J1103" s="2927">
        <f t="shared" si="129"/>
        <v>0</v>
      </c>
    </row>
    <row r="1104" spans="1:17" s="2879" customFormat="1" ht="15" customHeight="1">
      <c r="A1104" s="3931"/>
      <c r="B1104" s="3932"/>
      <c r="C1104" s="3932"/>
      <c r="D1104" s="3932"/>
      <c r="E1104" s="3932"/>
      <c r="F1104" s="3932"/>
      <c r="G1104" s="3932"/>
      <c r="H1104" s="3932"/>
      <c r="I1104" s="3932"/>
      <c r="J1104" s="3933"/>
      <c r="K1104" s="2864"/>
      <c r="L1104" s="2864"/>
      <c r="M1104" s="2864"/>
      <c r="N1104" s="2864"/>
      <c r="O1104" s="2864"/>
      <c r="P1104" s="2864"/>
      <c r="Q1104" s="2864"/>
    </row>
    <row r="1105" spans="1:17" s="2879" customFormat="1" ht="22.5">
      <c r="A1105" s="3934" t="s">
        <v>1302</v>
      </c>
      <c r="B1105" s="3935" t="s">
        <v>1408</v>
      </c>
      <c r="C1105" s="3936"/>
      <c r="D1105" s="3936"/>
      <c r="E1105" s="2861" t="s">
        <v>1304</v>
      </c>
      <c r="F1105" s="2862">
        <f>SUM(F1106,F1110)</f>
        <v>848000</v>
      </c>
      <c r="G1105" s="2862">
        <f>SUM(G1106,G1110)</f>
        <v>0</v>
      </c>
      <c r="H1105" s="2862">
        <f>SUM(H1106,H1110)</f>
        <v>0</v>
      </c>
      <c r="I1105" s="2862">
        <f>SUM(I1106,I1110)</f>
        <v>848000</v>
      </c>
      <c r="J1105" s="2863">
        <f>SUM(J1106,J1110)</f>
        <v>0</v>
      </c>
      <c r="K1105" s="2864"/>
      <c r="L1105" s="2864"/>
      <c r="M1105" s="2864"/>
      <c r="N1105" s="2864"/>
      <c r="O1105" s="2864"/>
      <c r="P1105" s="2864"/>
      <c r="Q1105" s="2864"/>
    </row>
    <row r="1106" spans="1:17" s="2879" customFormat="1" ht="15" customHeight="1">
      <c r="A1106" s="3934"/>
      <c r="B1106" s="3935"/>
      <c r="C1106" s="3936"/>
      <c r="D1106" s="3936"/>
      <c r="E1106" s="2866" t="s">
        <v>1017</v>
      </c>
      <c r="F1106" s="2867">
        <f>SUM(F1107:F1109)</f>
        <v>848000</v>
      </c>
      <c r="G1106" s="2867">
        <f>SUM(G1107:G1109)</f>
        <v>0</v>
      </c>
      <c r="H1106" s="2867">
        <f>SUM(H1107:H1109)</f>
        <v>0</v>
      </c>
      <c r="I1106" s="2867">
        <f>SUM(I1107:I1109)</f>
        <v>848000</v>
      </c>
      <c r="J1106" s="2868">
        <f>SUM(J1107:J1109)</f>
        <v>0</v>
      </c>
      <c r="K1106" s="2864"/>
      <c r="L1106" s="2864"/>
      <c r="M1106" s="2864"/>
      <c r="N1106" s="2864"/>
      <c r="O1106" s="2864"/>
      <c r="P1106" s="2864"/>
      <c r="Q1106" s="2864"/>
    </row>
    <row r="1107" spans="1:17" s="2879" customFormat="1" ht="15" customHeight="1">
      <c r="A1107" s="3934"/>
      <c r="B1107" s="3935"/>
      <c r="C1107" s="3936">
        <v>853</v>
      </c>
      <c r="D1107" s="3939" t="s">
        <v>1196</v>
      </c>
      <c r="E1107" s="2869" t="s">
        <v>649</v>
      </c>
      <c r="F1107" s="2870">
        <f t="shared" ref="F1107:F1109" si="130">SUM(G1107:J1107)</f>
        <v>848000</v>
      </c>
      <c r="G1107" s="2870"/>
      <c r="H1107" s="2870"/>
      <c r="I1107" s="2870">
        <v>848000</v>
      </c>
      <c r="J1107" s="2871"/>
      <c r="K1107" s="2864"/>
      <c r="L1107" s="2864"/>
      <c r="M1107" s="2864"/>
      <c r="N1107" s="2864"/>
      <c r="O1107" s="2864"/>
      <c r="P1107" s="2864"/>
      <c r="Q1107" s="2864"/>
    </row>
    <row r="1108" spans="1:17" s="2879" customFormat="1" ht="15" hidden="1" customHeight="1">
      <c r="A1108" s="3934"/>
      <c r="B1108" s="3935"/>
      <c r="C1108" s="3936"/>
      <c r="D1108" s="3939"/>
      <c r="E1108" s="2869" t="s">
        <v>591</v>
      </c>
      <c r="F1108" s="2870">
        <f>SUM(G1108:J1108)</f>
        <v>0</v>
      </c>
      <c r="G1108" s="2870"/>
      <c r="H1108" s="2870"/>
      <c r="I1108" s="2870"/>
      <c r="J1108" s="2871"/>
      <c r="K1108" s="2932"/>
      <c r="L1108" s="2864"/>
      <c r="M1108" s="2864"/>
      <c r="N1108" s="2864"/>
      <c r="O1108" s="2864"/>
      <c r="P1108" s="2864"/>
      <c r="Q1108" s="2864"/>
    </row>
    <row r="1109" spans="1:17" s="2879" customFormat="1" ht="15" hidden="1" customHeight="1">
      <c r="A1109" s="3934"/>
      <c r="B1109" s="3935"/>
      <c r="C1109" s="3936"/>
      <c r="D1109" s="3939"/>
      <c r="E1109" s="2869" t="s">
        <v>593</v>
      </c>
      <c r="F1109" s="2870">
        <f t="shared" si="130"/>
        <v>0</v>
      </c>
      <c r="G1109" s="2870"/>
      <c r="H1109" s="2870"/>
      <c r="I1109" s="2870"/>
      <c r="J1109" s="2871"/>
      <c r="K1109" s="2932"/>
      <c r="L1109" s="2865"/>
      <c r="M1109" s="2864"/>
      <c r="N1109" s="2864"/>
      <c r="O1109" s="2864"/>
      <c r="P1109" s="2864"/>
      <c r="Q1109" s="2864"/>
    </row>
    <row r="1110" spans="1:17" s="2879" customFormat="1" ht="15" customHeight="1">
      <c r="A1110" s="3934"/>
      <c r="B1110" s="3935"/>
      <c r="C1110" s="3936"/>
      <c r="D1110" s="3936"/>
      <c r="E1110" s="2872" t="s">
        <v>1305</v>
      </c>
      <c r="F1110" s="2867">
        <f>SUM(F1111:F1112)</f>
        <v>0</v>
      </c>
      <c r="G1110" s="2867">
        <f>SUM(G1111:G1112)</f>
        <v>0</v>
      </c>
      <c r="H1110" s="2867">
        <f>SUM(H1111:H1112)</f>
        <v>0</v>
      </c>
      <c r="I1110" s="2867">
        <f>SUM(I1111:I1112)</f>
        <v>0</v>
      </c>
      <c r="J1110" s="2868">
        <f>SUM(J1111:J1112)</f>
        <v>0</v>
      </c>
      <c r="K1110" s="2864"/>
      <c r="L1110" s="2864"/>
      <c r="M1110" s="2864"/>
      <c r="N1110" s="2864"/>
      <c r="O1110" s="2864"/>
      <c r="P1110" s="2864"/>
      <c r="Q1110" s="2864"/>
    </row>
    <row r="1111" spans="1:17" s="2879" customFormat="1" ht="15" hidden="1" customHeight="1">
      <c r="A1111" s="3934"/>
      <c r="B1111" s="3935"/>
      <c r="C1111" s="2874"/>
      <c r="D1111" s="2869"/>
      <c r="E1111" s="2869"/>
      <c r="F1111" s="2870">
        <f t="shared" ref="F1111:F1112" si="131">SUM(G1111:J1111)</f>
        <v>0</v>
      </c>
      <c r="G1111" s="2870"/>
      <c r="H1111" s="2870"/>
      <c r="I1111" s="2870"/>
      <c r="J1111" s="2871"/>
      <c r="K1111" s="2864"/>
      <c r="L1111" s="2864"/>
      <c r="M1111" s="2864"/>
      <c r="N1111" s="2864"/>
      <c r="O1111" s="2864"/>
      <c r="P1111" s="2864"/>
      <c r="Q1111" s="2864"/>
    </row>
    <row r="1112" spans="1:17" s="2879" customFormat="1" ht="15" hidden="1" customHeight="1">
      <c r="A1112" s="3934"/>
      <c r="B1112" s="3935"/>
      <c r="C1112" s="2874"/>
      <c r="D1112" s="2869"/>
      <c r="E1112" s="2869"/>
      <c r="F1112" s="2870">
        <f t="shared" si="131"/>
        <v>0</v>
      </c>
      <c r="G1112" s="2870"/>
      <c r="H1112" s="2870"/>
      <c r="I1112" s="2870"/>
      <c r="J1112" s="2871"/>
      <c r="K1112" s="2864"/>
      <c r="L1112" s="2864"/>
      <c r="M1112" s="2864"/>
      <c r="N1112" s="2864"/>
      <c r="O1112" s="2864"/>
      <c r="P1112" s="2864"/>
      <c r="Q1112" s="2864"/>
    </row>
    <row r="1113" spans="1:17" s="2879" customFormat="1" ht="22.5">
      <c r="A1113" s="3910" t="s">
        <v>1306</v>
      </c>
      <c r="B1113" s="3912" t="s">
        <v>1409</v>
      </c>
      <c r="C1113" s="3936"/>
      <c r="D1113" s="3936"/>
      <c r="E1113" s="2861" t="s">
        <v>1304</v>
      </c>
      <c r="F1113" s="2862">
        <f>SUM(F1114,F1131)</f>
        <v>21593400</v>
      </c>
      <c r="G1113" s="2862">
        <f>SUM(G1114,G1131)</f>
        <v>0</v>
      </c>
      <c r="H1113" s="2862">
        <f>SUM(H1114,H1131)</f>
        <v>0</v>
      </c>
      <c r="I1113" s="2862">
        <f>SUM(I1114,I1131)</f>
        <v>21593400</v>
      </c>
      <c r="J1113" s="2863">
        <f>SUM(J1114,J1131)</f>
        <v>0</v>
      </c>
      <c r="K1113" s="2865"/>
      <c r="L1113" s="2864"/>
      <c r="M1113" s="2864"/>
      <c r="N1113" s="2864"/>
      <c r="O1113" s="2864"/>
      <c r="P1113" s="2864"/>
      <c r="Q1113" s="2864"/>
    </row>
    <row r="1114" spans="1:17" s="2879" customFormat="1" ht="15" customHeight="1">
      <c r="A1114" s="3911"/>
      <c r="B1114" s="3913"/>
      <c r="C1114" s="3936"/>
      <c r="D1114" s="3936"/>
      <c r="E1114" s="2866" t="s">
        <v>1017</v>
      </c>
      <c r="F1114" s="2867">
        <f>SUM(F1115:F1130)</f>
        <v>21190400</v>
      </c>
      <c r="G1114" s="2867">
        <f>SUM(G1115:G1130)</f>
        <v>0</v>
      </c>
      <c r="H1114" s="2867">
        <f>SUM(H1115:H1130)</f>
        <v>0</v>
      </c>
      <c r="I1114" s="2867">
        <f>SUM(I1115:I1130)</f>
        <v>21190400</v>
      </c>
      <c r="J1114" s="2868">
        <f>SUM(J1115:J1130)</f>
        <v>0</v>
      </c>
      <c r="K1114" s="2864"/>
      <c r="L1114" s="2864"/>
      <c r="M1114" s="2864"/>
      <c r="N1114" s="2864"/>
      <c r="O1114" s="2864"/>
      <c r="P1114" s="2864"/>
      <c r="Q1114" s="2864"/>
    </row>
    <row r="1115" spans="1:17" s="2879" customFormat="1" ht="15" customHeight="1">
      <c r="A1115" s="3911"/>
      <c r="B1115" s="3913"/>
      <c r="C1115" s="3924">
        <v>150</v>
      </c>
      <c r="D1115" s="3927" t="s">
        <v>375</v>
      </c>
      <c r="E1115" s="2869" t="s">
        <v>649</v>
      </c>
      <c r="F1115" s="2870">
        <f t="shared" ref="F1115:F1130" si="132">SUM(G1115:J1115)</f>
        <v>2985463</v>
      </c>
      <c r="G1115" s="2870"/>
      <c r="H1115" s="2870"/>
      <c r="I1115" s="2870">
        <v>2985463</v>
      </c>
      <c r="J1115" s="2871"/>
      <c r="K1115" s="2864"/>
      <c r="L1115" s="2865"/>
      <c r="M1115" s="2864"/>
      <c r="N1115" s="2864"/>
      <c r="O1115" s="2864"/>
      <c r="P1115" s="2864"/>
      <c r="Q1115" s="2864"/>
    </row>
    <row r="1116" spans="1:17" s="2879" customFormat="1" ht="15" hidden="1" customHeight="1">
      <c r="A1116" s="3911"/>
      <c r="B1116" s="3913"/>
      <c r="C1116" s="3925"/>
      <c r="D1116" s="3928"/>
      <c r="E1116" s="2869" t="s">
        <v>486</v>
      </c>
      <c r="F1116" s="2870">
        <f t="shared" si="132"/>
        <v>0</v>
      </c>
      <c r="G1116" s="2870"/>
      <c r="H1116" s="2870"/>
      <c r="I1116" s="2870"/>
      <c r="J1116" s="2871"/>
      <c r="K1116" s="2864"/>
      <c r="L1116" s="2865"/>
      <c r="M1116" s="2864"/>
      <c r="N1116" s="2864"/>
      <c r="O1116" s="2864"/>
      <c r="P1116" s="2864"/>
      <c r="Q1116" s="2864"/>
    </row>
    <row r="1117" spans="1:17" s="2879" customFormat="1" ht="15" hidden="1" customHeight="1">
      <c r="A1117" s="3911"/>
      <c r="B1117" s="3913"/>
      <c r="C1117" s="3925"/>
      <c r="D1117" s="3928"/>
      <c r="E1117" s="2869" t="s">
        <v>593</v>
      </c>
      <c r="F1117" s="2870">
        <f t="shared" si="132"/>
        <v>0</v>
      </c>
      <c r="G1117" s="2870"/>
      <c r="H1117" s="2870"/>
      <c r="I1117" s="2870"/>
      <c r="J1117" s="2871"/>
      <c r="K1117" s="2909"/>
      <c r="L1117" s="2865"/>
      <c r="M1117" s="2864"/>
      <c r="N1117" s="2864"/>
      <c r="O1117" s="2864"/>
      <c r="P1117" s="2864"/>
      <c r="Q1117" s="2864"/>
    </row>
    <row r="1118" spans="1:17" s="2879" customFormat="1" ht="15" hidden="1" customHeight="1">
      <c r="A1118" s="3911"/>
      <c r="B1118" s="3913"/>
      <c r="C1118" s="3926"/>
      <c r="D1118" s="3929"/>
      <c r="E1118" s="2869" t="s">
        <v>591</v>
      </c>
      <c r="F1118" s="2870">
        <f t="shared" si="132"/>
        <v>0</v>
      </c>
      <c r="G1118" s="2870"/>
      <c r="H1118" s="2870"/>
      <c r="I1118" s="2870"/>
      <c r="J1118" s="2871"/>
      <c r="K1118" s="2909"/>
      <c r="L1118" s="2865"/>
      <c r="M1118" s="2864"/>
      <c r="N1118" s="2864"/>
      <c r="O1118" s="2864"/>
      <c r="P1118" s="2864"/>
      <c r="Q1118" s="2864"/>
    </row>
    <row r="1119" spans="1:17" s="2879" customFormat="1" ht="15" customHeight="1">
      <c r="A1119" s="3911"/>
      <c r="B1119" s="3913"/>
      <c r="C1119" s="3924">
        <v>801</v>
      </c>
      <c r="D1119" s="3927" t="s">
        <v>1135</v>
      </c>
      <c r="E1119" s="2869" t="s">
        <v>649</v>
      </c>
      <c r="F1119" s="2870">
        <f t="shared" si="132"/>
        <v>813868</v>
      </c>
      <c r="G1119" s="2870"/>
      <c r="H1119" s="2870"/>
      <c r="I1119" s="2870">
        <v>813868</v>
      </c>
      <c r="J1119" s="2871"/>
      <c r="K1119" s="2909"/>
      <c r="L1119" s="2865"/>
      <c r="M1119" s="2864"/>
      <c r="N1119" s="2864"/>
      <c r="O1119" s="2864"/>
      <c r="P1119" s="2864"/>
      <c r="Q1119" s="2864"/>
    </row>
    <row r="1120" spans="1:17" s="2879" customFormat="1" ht="15" customHeight="1">
      <c r="A1120" s="3911"/>
      <c r="B1120" s="3913"/>
      <c r="C1120" s="3925"/>
      <c r="D1120" s="3928"/>
      <c r="E1120" s="2869" t="s">
        <v>486</v>
      </c>
      <c r="F1120" s="2870">
        <f t="shared" si="132"/>
        <v>495081</v>
      </c>
      <c r="G1120" s="2870"/>
      <c r="H1120" s="2870"/>
      <c r="I1120" s="2870">
        <v>495081</v>
      </c>
      <c r="J1120" s="2871"/>
      <c r="K1120" s="2909"/>
      <c r="L1120" s="2865"/>
      <c r="M1120" s="2864"/>
      <c r="N1120" s="2864"/>
      <c r="O1120" s="2864"/>
      <c r="P1120" s="2864"/>
      <c r="Q1120" s="2864"/>
    </row>
    <row r="1121" spans="1:17" s="2879" customFormat="1" ht="15" hidden="1" customHeight="1">
      <c r="A1121" s="3911"/>
      <c r="B1121" s="3913"/>
      <c r="C1121" s="3925"/>
      <c r="D1121" s="3928"/>
      <c r="E1121" s="2869" t="s">
        <v>591</v>
      </c>
      <c r="F1121" s="2870">
        <f t="shared" si="132"/>
        <v>0</v>
      </c>
      <c r="G1121" s="2870"/>
      <c r="H1121" s="2870"/>
      <c r="I1121" s="2870"/>
      <c r="J1121" s="2871"/>
      <c r="K1121" s="2909"/>
      <c r="L1121" s="2865"/>
      <c r="M1121" s="2864"/>
      <c r="N1121" s="2864"/>
      <c r="O1121" s="2864"/>
      <c r="P1121" s="2864"/>
      <c r="Q1121" s="2864"/>
    </row>
    <row r="1122" spans="1:17" s="2879" customFormat="1" ht="15" hidden="1" customHeight="1">
      <c r="A1122" s="3911"/>
      <c r="B1122" s="3913"/>
      <c r="C1122" s="3926"/>
      <c r="D1122" s="3929"/>
      <c r="E1122" s="2869" t="s">
        <v>593</v>
      </c>
      <c r="F1122" s="2870">
        <f t="shared" si="132"/>
        <v>0</v>
      </c>
      <c r="G1122" s="2870"/>
      <c r="H1122" s="2870"/>
      <c r="I1122" s="2870"/>
      <c r="J1122" s="2871"/>
      <c r="K1122" s="2932"/>
      <c r="L1122" s="2865"/>
      <c r="M1122" s="2864"/>
      <c r="N1122" s="2864"/>
      <c r="O1122" s="2864"/>
      <c r="P1122" s="2864"/>
      <c r="Q1122" s="2864"/>
    </row>
    <row r="1123" spans="1:17" s="2879" customFormat="1" ht="15" customHeight="1">
      <c r="A1123" s="3911"/>
      <c r="B1123" s="3913"/>
      <c r="C1123" s="3924">
        <v>852</v>
      </c>
      <c r="D1123" s="3927" t="s">
        <v>1180</v>
      </c>
      <c r="E1123" s="2869" t="s">
        <v>649</v>
      </c>
      <c r="F1123" s="2870">
        <f t="shared" si="132"/>
        <v>9041963</v>
      </c>
      <c r="G1123" s="2870"/>
      <c r="H1123" s="2870"/>
      <c r="I1123" s="2870">
        <v>9041963</v>
      </c>
      <c r="J1123" s="2871"/>
      <c r="K1123" s="2909"/>
      <c r="L1123" s="2865"/>
      <c r="M1123" s="2864"/>
      <c r="N1123" s="2864"/>
      <c r="O1123" s="2864"/>
      <c r="P1123" s="2864"/>
      <c r="Q1123" s="2864"/>
    </row>
    <row r="1124" spans="1:17" s="2879" customFormat="1" ht="15" customHeight="1">
      <c r="A1124" s="3911"/>
      <c r="B1124" s="3913"/>
      <c r="C1124" s="3925"/>
      <c r="D1124" s="3928"/>
      <c r="E1124" s="2869" t="s">
        <v>486</v>
      </c>
      <c r="F1124" s="2870">
        <f t="shared" si="132"/>
        <v>2788034</v>
      </c>
      <c r="G1124" s="2870"/>
      <c r="H1124" s="2870"/>
      <c r="I1124" s="2870">
        <v>2788034</v>
      </c>
      <c r="J1124" s="2871"/>
      <c r="K1124" s="2909"/>
      <c r="L1124" s="2865"/>
      <c r="M1124" s="2864"/>
      <c r="N1124" s="2864"/>
      <c r="O1124" s="2864"/>
      <c r="P1124" s="2864"/>
      <c r="Q1124" s="2864"/>
    </row>
    <row r="1125" spans="1:17" s="2879" customFormat="1" ht="15" hidden="1" customHeight="1">
      <c r="A1125" s="3911"/>
      <c r="B1125" s="3913"/>
      <c r="C1125" s="3925"/>
      <c r="D1125" s="3928"/>
      <c r="E1125" s="2869" t="s">
        <v>593</v>
      </c>
      <c r="F1125" s="2870">
        <f t="shared" si="132"/>
        <v>0</v>
      </c>
      <c r="G1125" s="2870"/>
      <c r="H1125" s="2870"/>
      <c r="I1125" s="2870"/>
      <c r="J1125" s="2871"/>
      <c r="K1125" s="2932"/>
      <c r="L1125" s="2865"/>
      <c r="M1125" s="2864"/>
      <c r="N1125" s="2864"/>
      <c r="O1125" s="2864"/>
      <c r="P1125" s="2864"/>
      <c r="Q1125" s="2864"/>
    </row>
    <row r="1126" spans="1:17" s="2879" customFormat="1" ht="15" hidden="1" customHeight="1">
      <c r="A1126" s="3911"/>
      <c r="B1126" s="3913"/>
      <c r="C1126" s="3926"/>
      <c r="D1126" s="3929"/>
      <c r="E1126" s="2869" t="s">
        <v>591</v>
      </c>
      <c r="F1126" s="2870">
        <f t="shared" si="132"/>
        <v>0</v>
      </c>
      <c r="G1126" s="2870"/>
      <c r="H1126" s="2870"/>
      <c r="I1126" s="2870"/>
      <c r="J1126" s="2871"/>
      <c r="K1126" s="2932"/>
      <c r="L1126" s="2865"/>
      <c r="M1126" s="2864"/>
      <c r="N1126" s="2864"/>
      <c r="O1126" s="2864"/>
      <c r="P1126" s="2864"/>
      <c r="Q1126" s="2864"/>
    </row>
    <row r="1127" spans="1:17" s="2879" customFormat="1" ht="15" customHeight="1">
      <c r="A1127" s="3911"/>
      <c r="B1127" s="3913"/>
      <c r="C1127" s="3924">
        <v>853</v>
      </c>
      <c r="D1127" s="3927" t="s">
        <v>1196</v>
      </c>
      <c r="E1127" s="2869" t="s">
        <v>649</v>
      </c>
      <c r="F1127" s="2870">
        <f t="shared" si="132"/>
        <v>4437430</v>
      </c>
      <c r="G1127" s="2870"/>
      <c r="H1127" s="2870"/>
      <c r="I1127" s="2870">
        <v>4437430</v>
      </c>
      <c r="J1127" s="2871"/>
      <c r="K1127" s="2909"/>
      <c r="L1127" s="2865"/>
      <c r="M1127" s="2864"/>
      <c r="N1127" s="2864"/>
      <c r="O1127" s="2864"/>
      <c r="P1127" s="2864"/>
      <c r="Q1127" s="2864"/>
    </row>
    <row r="1128" spans="1:17" s="2879" customFormat="1" ht="15" customHeight="1">
      <c r="A1128" s="3911"/>
      <c r="B1128" s="3913"/>
      <c r="C1128" s="3925"/>
      <c r="D1128" s="3928"/>
      <c r="E1128" s="2869" t="s">
        <v>486</v>
      </c>
      <c r="F1128" s="2870">
        <f t="shared" si="132"/>
        <v>628561</v>
      </c>
      <c r="G1128" s="2870"/>
      <c r="H1128" s="2870"/>
      <c r="I1128" s="2870">
        <v>628561</v>
      </c>
      <c r="J1128" s="2871"/>
      <c r="K1128" s="2909"/>
      <c r="L1128" s="2865"/>
      <c r="M1128" s="2864"/>
      <c r="N1128" s="2864"/>
      <c r="O1128" s="2864"/>
      <c r="P1128" s="2864"/>
      <c r="Q1128" s="2864"/>
    </row>
    <row r="1129" spans="1:17" s="2879" customFormat="1" ht="15" hidden="1" customHeight="1">
      <c r="A1129" s="3911"/>
      <c r="B1129" s="3913"/>
      <c r="C1129" s="3925"/>
      <c r="D1129" s="3928"/>
      <c r="E1129" s="2869" t="s">
        <v>591</v>
      </c>
      <c r="F1129" s="2870">
        <f t="shared" si="132"/>
        <v>0</v>
      </c>
      <c r="G1129" s="2870"/>
      <c r="H1129" s="2870"/>
      <c r="I1129" s="2870"/>
      <c r="J1129" s="2871"/>
      <c r="K1129" s="2909"/>
      <c r="L1129" s="2865"/>
      <c r="M1129" s="2864"/>
      <c r="N1129" s="2864"/>
      <c r="O1129" s="2864"/>
      <c r="P1129" s="2864"/>
      <c r="Q1129" s="2864"/>
    </row>
    <row r="1130" spans="1:17" s="2879" customFormat="1" ht="15" hidden="1" customHeight="1">
      <c r="A1130" s="3911"/>
      <c r="B1130" s="3913"/>
      <c r="C1130" s="3926"/>
      <c r="D1130" s="3929"/>
      <c r="E1130" s="2869" t="s">
        <v>593</v>
      </c>
      <c r="F1130" s="2870">
        <f t="shared" si="132"/>
        <v>0</v>
      </c>
      <c r="G1130" s="2870"/>
      <c r="H1130" s="2870"/>
      <c r="I1130" s="2870"/>
      <c r="J1130" s="2871"/>
      <c r="K1130" s="2932"/>
      <c r="L1130" s="2865"/>
      <c r="M1130" s="2864"/>
      <c r="N1130" s="2864"/>
      <c r="O1130" s="2864"/>
      <c r="P1130" s="2864"/>
      <c r="Q1130" s="2864"/>
    </row>
    <row r="1131" spans="1:17" s="2879" customFormat="1" ht="15" customHeight="1">
      <c r="A1131" s="3911"/>
      <c r="B1131" s="3913"/>
      <c r="C1131" s="3936"/>
      <c r="D1131" s="3936"/>
      <c r="E1131" s="2872" t="s">
        <v>1305</v>
      </c>
      <c r="F1131" s="2867">
        <f>SUM(F1132:F1138)</f>
        <v>403000</v>
      </c>
      <c r="G1131" s="2867">
        <f>SUM(G1132:G1138)</f>
        <v>0</v>
      </c>
      <c r="H1131" s="2867">
        <f>SUM(H1132:H1138)</f>
        <v>0</v>
      </c>
      <c r="I1131" s="2867">
        <f>SUM(I1132:I1138)</f>
        <v>403000</v>
      </c>
      <c r="J1131" s="2868">
        <f>SUM(J1132:J1138)</f>
        <v>0</v>
      </c>
      <c r="K1131" s="2909"/>
      <c r="L1131" s="2865"/>
      <c r="M1131" s="2864"/>
      <c r="N1131" s="2864"/>
      <c r="O1131" s="2864"/>
      <c r="P1131" s="2864"/>
      <c r="Q1131" s="2864"/>
    </row>
    <row r="1132" spans="1:17" s="2879" customFormat="1" ht="15" hidden="1" customHeight="1">
      <c r="A1132" s="3911"/>
      <c r="B1132" s="3913"/>
      <c r="C1132" s="3924">
        <v>801</v>
      </c>
      <c r="D1132" s="3927" t="s">
        <v>1135</v>
      </c>
      <c r="E1132" s="2869" t="s">
        <v>900</v>
      </c>
      <c r="F1132" s="2870">
        <f t="shared" ref="F1132:F1138" si="133">SUM(G1132:J1132)</f>
        <v>0</v>
      </c>
      <c r="G1132" s="2870"/>
      <c r="H1132" s="2870"/>
      <c r="I1132" s="2870"/>
      <c r="J1132" s="2871"/>
      <c r="K1132" s="2909"/>
      <c r="L1132" s="2865"/>
      <c r="M1132" s="2864"/>
      <c r="N1132" s="2864"/>
      <c r="O1132" s="2864"/>
      <c r="P1132" s="2864"/>
      <c r="Q1132" s="2864"/>
    </row>
    <row r="1133" spans="1:17" s="2879" customFormat="1" ht="15" customHeight="1">
      <c r="A1133" s="3911"/>
      <c r="B1133" s="3913"/>
      <c r="C1133" s="3925"/>
      <c r="D1133" s="3928"/>
      <c r="E1133" s="2869" t="s">
        <v>901</v>
      </c>
      <c r="F1133" s="2870">
        <f t="shared" si="133"/>
        <v>28950</v>
      </c>
      <c r="G1133" s="2870"/>
      <c r="H1133" s="2870"/>
      <c r="I1133" s="2870">
        <v>28950</v>
      </c>
      <c r="J1133" s="2871"/>
      <c r="K1133" s="2909"/>
      <c r="L1133" s="2865"/>
      <c r="M1133" s="2864"/>
      <c r="N1133" s="2864"/>
      <c r="O1133" s="2864"/>
      <c r="P1133" s="2864"/>
      <c r="Q1133" s="2864"/>
    </row>
    <row r="1134" spans="1:17" s="2879" customFormat="1" ht="15" hidden="1" customHeight="1">
      <c r="A1134" s="3911"/>
      <c r="B1134" s="3913"/>
      <c r="C1134" s="3926"/>
      <c r="D1134" s="3929"/>
      <c r="E1134" s="2869" t="s">
        <v>594</v>
      </c>
      <c r="F1134" s="2870">
        <f t="shared" si="133"/>
        <v>0</v>
      </c>
      <c r="G1134" s="2870"/>
      <c r="H1134" s="2870"/>
      <c r="I1134" s="2870"/>
      <c r="J1134" s="2871"/>
      <c r="K1134" s="2932"/>
      <c r="L1134" s="2865"/>
      <c r="M1134" s="2864"/>
      <c r="N1134" s="2864"/>
      <c r="O1134" s="2864"/>
      <c r="P1134" s="2864"/>
      <c r="Q1134" s="2864"/>
    </row>
    <row r="1135" spans="1:17" s="2879" customFormat="1" ht="15" customHeight="1">
      <c r="A1135" s="3911"/>
      <c r="B1135" s="3913"/>
      <c r="C1135" s="3924">
        <v>852</v>
      </c>
      <c r="D1135" s="3927" t="s">
        <v>1180</v>
      </c>
      <c r="E1135" s="2869" t="s">
        <v>900</v>
      </c>
      <c r="F1135" s="2870">
        <f t="shared" si="133"/>
        <v>259097</v>
      </c>
      <c r="G1135" s="2870"/>
      <c r="H1135" s="2870"/>
      <c r="I1135" s="2870">
        <v>259097</v>
      </c>
      <c r="J1135" s="2871"/>
      <c r="K1135" s="2909"/>
      <c r="L1135" s="2865"/>
      <c r="M1135" s="2864"/>
      <c r="N1135" s="2864"/>
      <c r="O1135" s="2864"/>
      <c r="P1135" s="2864"/>
      <c r="Q1135" s="2864"/>
    </row>
    <row r="1136" spans="1:17" s="2879" customFormat="1" ht="15" customHeight="1">
      <c r="A1136" s="3911"/>
      <c r="B1136" s="3913"/>
      <c r="C1136" s="3926"/>
      <c r="D1136" s="3929"/>
      <c r="E1136" s="2869" t="s">
        <v>901</v>
      </c>
      <c r="F1136" s="2870">
        <f t="shared" si="133"/>
        <v>112447</v>
      </c>
      <c r="G1136" s="2870"/>
      <c r="H1136" s="2870"/>
      <c r="I1136" s="2870">
        <v>112447</v>
      </c>
      <c r="J1136" s="2871"/>
      <c r="K1136" s="2909"/>
      <c r="L1136" s="2865"/>
      <c r="M1136" s="2864"/>
      <c r="N1136" s="2864"/>
      <c r="O1136" s="2864"/>
      <c r="P1136" s="2864"/>
      <c r="Q1136" s="2864"/>
    </row>
    <row r="1137" spans="1:17" s="2879" customFormat="1" ht="15" hidden="1" customHeight="1">
      <c r="A1137" s="3911"/>
      <c r="B1137" s="3913"/>
      <c r="C1137" s="3924">
        <v>853</v>
      </c>
      <c r="D1137" s="3927" t="s">
        <v>1196</v>
      </c>
      <c r="E1137" s="2869" t="s">
        <v>594</v>
      </c>
      <c r="F1137" s="2870">
        <f t="shared" si="133"/>
        <v>0</v>
      </c>
      <c r="G1137" s="2870"/>
      <c r="H1137" s="2870"/>
      <c r="I1137" s="2870"/>
      <c r="J1137" s="2871"/>
      <c r="K1137" s="2909"/>
      <c r="L1137" s="2865"/>
      <c r="M1137" s="2864"/>
      <c r="N1137" s="2864"/>
      <c r="O1137" s="2864"/>
      <c r="P1137" s="2864"/>
      <c r="Q1137" s="2864"/>
    </row>
    <row r="1138" spans="1:17" s="2879" customFormat="1" ht="15" customHeight="1">
      <c r="A1138" s="3920"/>
      <c r="B1138" s="3937"/>
      <c r="C1138" s="3926"/>
      <c r="D1138" s="3929"/>
      <c r="E1138" s="2869" t="s">
        <v>901</v>
      </c>
      <c r="F1138" s="2870">
        <f t="shared" si="133"/>
        <v>2506</v>
      </c>
      <c r="G1138" s="2870"/>
      <c r="H1138" s="2870"/>
      <c r="I1138" s="2870">
        <v>2506</v>
      </c>
      <c r="J1138" s="2871"/>
      <c r="K1138" s="2909"/>
      <c r="L1138" s="2865"/>
      <c r="M1138" s="2864"/>
      <c r="N1138" s="2864"/>
      <c r="O1138" s="2864"/>
      <c r="P1138" s="2864"/>
      <c r="Q1138" s="2864"/>
    </row>
    <row r="1139" spans="1:17" s="2879" customFormat="1" ht="22.5">
      <c r="A1139" s="3910" t="s">
        <v>1308</v>
      </c>
      <c r="B1139" s="3912" t="s">
        <v>1410</v>
      </c>
      <c r="C1139" s="3924">
        <v>853</v>
      </c>
      <c r="D1139" s="3927" t="s">
        <v>50</v>
      </c>
      <c r="E1139" s="2861" t="s">
        <v>1304</v>
      </c>
      <c r="F1139" s="2862">
        <f>SUM(F1140,F1183)</f>
        <v>4126333</v>
      </c>
      <c r="G1139" s="2862">
        <f>SUM(G1140,G1183)</f>
        <v>648660</v>
      </c>
      <c r="H1139" s="2862">
        <f>SUM(H1140,H1183)</f>
        <v>0</v>
      </c>
      <c r="I1139" s="2862">
        <f>SUM(I1140,I1183)</f>
        <v>3477673</v>
      </c>
      <c r="J1139" s="2863">
        <f>SUM(J1140,J1183)</f>
        <v>0</v>
      </c>
      <c r="K1139" s="2864"/>
      <c r="L1139" s="2864"/>
      <c r="M1139" s="2864"/>
      <c r="N1139" s="2864"/>
      <c r="O1139" s="2864"/>
      <c r="P1139" s="2864"/>
      <c r="Q1139" s="2864"/>
    </row>
    <row r="1140" spans="1:17" s="2879" customFormat="1" ht="21">
      <c r="A1140" s="3911"/>
      <c r="B1140" s="3913"/>
      <c r="C1140" s="3925"/>
      <c r="D1140" s="3928"/>
      <c r="E1140" s="2866" t="s">
        <v>1310</v>
      </c>
      <c r="F1140" s="2867">
        <f>SUM(F1141,F1144,F1157)</f>
        <v>4126333</v>
      </c>
      <c r="G1140" s="2867">
        <f>SUM(G1141,G1144,G1157)</f>
        <v>648660</v>
      </c>
      <c r="H1140" s="2867">
        <f>SUM(H1141,H1144,H1157)</f>
        <v>0</v>
      </c>
      <c r="I1140" s="2867">
        <f>SUM(I1141,I1144,I1157)</f>
        <v>3477673</v>
      </c>
      <c r="J1140" s="2868">
        <f>SUM(J1141,J1144,J1157)</f>
        <v>0</v>
      </c>
      <c r="K1140" s="2864"/>
      <c r="L1140" s="2864"/>
      <c r="M1140" s="2864"/>
      <c r="N1140" s="2864"/>
      <c r="O1140" s="2864"/>
      <c r="P1140" s="2864"/>
      <c r="Q1140" s="2864"/>
    </row>
    <row r="1141" spans="1:17" s="2879" customFormat="1" ht="15" hidden="1" customHeight="1">
      <c r="A1141" s="3911"/>
      <c r="B1141" s="3913"/>
      <c r="C1141" s="3925"/>
      <c r="D1141" s="3928"/>
      <c r="E1141" s="2880" t="s">
        <v>1324</v>
      </c>
      <c r="F1141" s="2881">
        <f>SUM(F1142:F1143)</f>
        <v>0</v>
      </c>
      <c r="G1141" s="2881">
        <f>SUM(G1142:G1143)</f>
        <v>0</v>
      </c>
      <c r="H1141" s="2881">
        <f>SUM(H1142:H1143)</f>
        <v>0</v>
      </c>
      <c r="I1141" s="2881">
        <f>SUM(I1142:I1143)</f>
        <v>0</v>
      </c>
      <c r="J1141" s="2882">
        <f>SUM(J1142:J1143)</f>
        <v>0</v>
      </c>
      <c r="K1141" s="2864"/>
      <c r="L1141" s="2864"/>
      <c r="M1141" s="2864"/>
      <c r="N1141" s="2864"/>
      <c r="O1141" s="2864"/>
      <c r="P1141" s="2864"/>
      <c r="Q1141" s="2864"/>
    </row>
    <row r="1142" spans="1:17" s="2879" customFormat="1" ht="15" hidden="1" customHeight="1">
      <c r="A1142" s="3911"/>
      <c r="B1142" s="3913"/>
      <c r="C1142" s="3925"/>
      <c r="D1142" s="3928"/>
      <c r="E1142" s="2869"/>
      <c r="F1142" s="2870">
        <f>SUM(G1142:J1142)</f>
        <v>0</v>
      </c>
      <c r="G1142" s="2870"/>
      <c r="H1142" s="2870"/>
      <c r="I1142" s="2870"/>
      <c r="J1142" s="2871"/>
      <c r="K1142" s="2864"/>
      <c r="L1142" s="2864"/>
      <c r="M1142" s="2864"/>
      <c r="N1142" s="2864"/>
      <c r="O1142" s="2864"/>
      <c r="P1142" s="2864"/>
      <c r="Q1142" s="2864"/>
    </row>
    <row r="1143" spans="1:17" s="2879" customFormat="1" ht="15" hidden="1" customHeight="1">
      <c r="A1143" s="3911"/>
      <c r="B1143" s="3913"/>
      <c r="C1143" s="3925"/>
      <c r="D1143" s="3928"/>
      <c r="E1143" s="2869"/>
      <c r="F1143" s="2870">
        <f>SUM(G1143:J1143)</f>
        <v>0</v>
      </c>
      <c r="G1143" s="2870"/>
      <c r="H1143" s="2870"/>
      <c r="I1143" s="2870"/>
      <c r="J1143" s="2871"/>
      <c r="K1143" s="2864"/>
      <c r="L1143" s="2864"/>
      <c r="M1143" s="2864"/>
      <c r="N1143" s="2864"/>
      <c r="O1143" s="2864"/>
      <c r="P1143" s="2864"/>
      <c r="Q1143" s="2864"/>
    </row>
    <row r="1144" spans="1:17" s="2879" customFormat="1" ht="22.5">
      <c r="A1144" s="3911"/>
      <c r="B1144" s="3913"/>
      <c r="C1144" s="3925"/>
      <c r="D1144" s="3928"/>
      <c r="E1144" s="2880" t="s">
        <v>1311</v>
      </c>
      <c r="F1144" s="2881">
        <f>SUM(F1145:F1156)</f>
        <v>3743933</v>
      </c>
      <c r="G1144" s="2881">
        <f>SUM(G1145:G1156)</f>
        <v>588547</v>
      </c>
      <c r="H1144" s="2881">
        <f>SUM(H1145:H1156)</f>
        <v>0</v>
      </c>
      <c r="I1144" s="2881">
        <f>SUM(I1145:I1156)</f>
        <v>3155386</v>
      </c>
      <c r="J1144" s="2882">
        <f>SUM(J1145:J1156)</f>
        <v>0</v>
      </c>
      <c r="K1144" s="2864"/>
      <c r="L1144" s="2864"/>
      <c r="M1144" s="2864"/>
      <c r="N1144" s="2864"/>
      <c r="O1144" s="2864"/>
      <c r="P1144" s="2864"/>
      <c r="Q1144" s="2864"/>
    </row>
    <row r="1145" spans="1:17" s="2879" customFormat="1" ht="15" customHeight="1">
      <c r="A1145" s="3911"/>
      <c r="B1145" s="3913"/>
      <c r="C1145" s="3925"/>
      <c r="D1145" s="3928"/>
      <c r="E1145" s="2869" t="s">
        <v>828</v>
      </c>
      <c r="F1145" s="2870">
        <f t="shared" ref="F1145:F1156" si="134">SUM(G1145:J1145)</f>
        <v>2461395</v>
      </c>
      <c r="G1145" s="2870"/>
      <c r="H1145" s="2870"/>
      <c r="I1145" s="2870">
        <v>2461395</v>
      </c>
      <c r="J1145" s="2871"/>
      <c r="K1145" s="2864"/>
      <c r="L1145" s="2864"/>
      <c r="M1145" s="2864"/>
      <c r="N1145" s="2864"/>
      <c r="O1145" s="2864"/>
      <c r="P1145" s="2864"/>
      <c r="Q1145" s="2864"/>
    </row>
    <row r="1146" spans="1:17" s="2879" customFormat="1" ht="15" customHeight="1">
      <c r="A1146" s="3911"/>
      <c r="B1146" s="3913"/>
      <c r="C1146" s="3925"/>
      <c r="D1146" s="3928"/>
      <c r="E1146" s="2869" t="s">
        <v>829</v>
      </c>
      <c r="F1146" s="2870">
        <f t="shared" si="134"/>
        <v>459102</v>
      </c>
      <c r="G1146" s="2870">
        <v>459102</v>
      </c>
      <c r="H1146" s="2870"/>
      <c r="I1146" s="2870"/>
      <c r="J1146" s="2871"/>
      <c r="K1146" s="2864"/>
      <c r="L1146" s="2864"/>
      <c r="M1146" s="2864"/>
      <c r="N1146" s="2864"/>
      <c r="O1146" s="2864"/>
      <c r="P1146" s="2864"/>
      <c r="Q1146" s="2864"/>
    </row>
    <row r="1147" spans="1:17" s="2879" customFormat="1" ht="15" customHeight="1">
      <c r="A1147" s="3911"/>
      <c r="B1147" s="3913"/>
      <c r="C1147" s="3925"/>
      <c r="D1147" s="3928"/>
      <c r="E1147" s="2869" t="s">
        <v>830</v>
      </c>
      <c r="F1147" s="2870">
        <f t="shared" si="134"/>
        <v>168532</v>
      </c>
      <c r="G1147" s="2870"/>
      <c r="H1147" s="2870"/>
      <c r="I1147" s="2870">
        <v>168532</v>
      </c>
      <c r="J1147" s="2871"/>
      <c r="K1147" s="2864"/>
      <c r="L1147" s="2864"/>
      <c r="M1147" s="2864"/>
      <c r="N1147" s="2864"/>
      <c r="O1147" s="2864"/>
      <c r="P1147" s="2864"/>
      <c r="Q1147" s="2864"/>
    </row>
    <row r="1148" spans="1:17" s="2879" customFormat="1" ht="15" customHeight="1">
      <c r="A1148" s="3911"/>
      <c r="B1148" s="3913"/>
      <c r="C1148" s="3925"/>
      <c r="D1148" s="3928"/>
      <c r="E1148" s="2869" t="s">
        <v>831</v>
      </c>
      <c r="F1148" s="2870">
        <f t="shared" si="134"/>
        <v>31435</v>
      </c>
      <c r="G1148" s="2870">
        <v>31435</v>
      </c>
      <c r="H1148" s="2870"/>
      <c r="I1148" s="2870"/>
      <c r="J1148" s="2871"/>
      <c r="K1148" s="2864"/>
      <c r="L1148" s="2864"/>
      <c r="M1148" s="2864"/>
      <c r="N1148" s="2864"/>
      <c r="O1148" s="2864"/>
      <c r="P1148" s="2864"/>
      <c r="Q1148" s="2864"/>
    </row>
    <row r="1149" spans="1:17" s="2879" customFormat="1" ht="15" customHeight="1">
      <c r="A1149" s="3911"/>
      <c r="B1149" s="3913"/>
      <c r="C1149" s="3925"/>
      <c r="D1149" s="3928"/>
      <c r="E1149" s="2869" t="s">
        <v>832</v>
      </c>
      <c r="F1149" s="2870">
        <f t="shared" si="134"/>
        <v>452085</v>
      </c>
      <c r="G1149" s="2870"/>
      <c r="H1149" s="2870"/>
      <c r="I1149" s="2870">
        <v>452085</v>
      </c>
      <c r="J1149" s="2871"/>
      <c r="K1149" s="2864"/>
      <c r="L1149" s="2864"/>
      <c r="M1149" s="2864"/>
      <c r="N1149" s="2864"/>
      <c r="O1149" s="2864"/>
      <c r="P1149" s="2864"/>
      <c r="Q1149" s="2864"/>
    </row>
    <row r="1150" spans="1:17" s="2879" customFormat="1" ht="15" customHeight="1">
      <c r="A1150" s="3911"/>
      <c r="B1150" s="3913"/>
      <c r="C1150" s="3925"/>
      <c r="D1150" s="3928"/>
      <c r="E1150" s="2869" t="s">
        <v>833</v>
      </c>
      <c r="F1150" s="2870">
        <f t="shared" si="134"/>
        <v>84324</v>
      </c>
      <c r="G1150" s="2870">
        <v>84324</v>
      </c>
      <c r="H1150" s="2870"/>
      <c r="I1150" s="2870"/>
      <c r="J1150" s="2871"/>
      <c r="K1150" s="2864"/>
      <c r="L1150" s="2864"/>
      <c r="M1150" s="2864"/>
      <c r="N1150" s="2864"/>
      <c r="O1150" s="2864"/>
      <c r="P1150" s="2864"/>
      <c r="Q1150" s="2864"/>
    </row>
    <row r="1151" spans="1:17" s="2879" customFormat="1" ht="15" customHeight="1">
      <c r="A1151" s="3911"/>
      <c r="B1151" s="3913"/>
      <c r="C1151" s="3925"/>
      <c r="D1151" s="3928"/>
      <c r="E1151" s="2869" t="s">
        <v>834</v>
      </c>
      <c r="F1151" s="2870">
        <f t="shared" si="134"/>
        <v>64433</v>
      </c>
      <c r="G1151" s="2870"/>
      <c r="H1151" s="2870"/>
      <c r="I1151" s="2870">
        <v>64433</v>
      </c>
      <c r="J1151" s="2871"/>
      <c r="K1151" s="2864"/>
      <c r="L1151" s="2864"/>
      <c r="M1151" s="2864"/>
      <c r="N1151" s="2864"/>
      <c r="O1151" s="2864"/>
      <c r="P1151" s="2864"/>
      <c r="Q1151" s="2864"/>
    </row>
    <row r="1152" spans="1:17" s="2879" customFormat="1" ht="15" customHeight="1">
      <c r="A1152" s="3911"/>
      <c r="B1152" s="3913"/>
      <c r="C1152" s="3925"/>
      <c r="D1152" s="3928"/>
      <c r="E1152" s="2869" t="s">
        <v>835</v>
      </c>
      <c r="F1152" s="2870">
        <f t="shared" si="134"/>
        <v>12018</v>
      </c>
      <c r="G1152" s="2870">
        <v>12018</v>
      </c>
      <c r="H1152" s="2870"/>
      <c r="I1152" s="2870"/>
      <c r="J1152" s="2871"/>
      <c r="K1152" s="2864"/>
      <c r="L1152" s="2864"/>
      <c r="M1152" s="2864"/>
      <c r="N1152" s="2864"/>
      <c r="O1152" s="2864"/>
      <c r="P1152" s="2864"/>
      <c r="Q1152" s="2864"/>
    </row>
    <row r="1153" spans="1:17" s="2879" customFormat="1" ht="15" hidden="1" customHeight="1">
      <c r="A1153" s="3911"/>
      <c r="B1153" s="3913"/>
      <c r="C1153" s="3925"/>
      <c r="D1153" s="3928"/>
      <c r="E1153" s="2869" t="s">
        <v>836</v>
      </c>
      <c r="F1153" s="2870">
        <f t="shared" si="134"/>
        <v>0</v>
      </c>
      <c r="G1153" s="2870"/>
      <c r="H1153" s="2870"/>
      <c r="I1153" s="2870"/>
      <c r="J1153" s="2871"/>
      <c r="K1153" s="2864"/>
      <c r="L1153" s="2864"/>
      <c r="M1153" s="2864"/>
      <c r="N1153" s="2864"/>
      <c r="O1153" s="2864"/>
      <c r="P1153" s="2864"/>
      <c r="Q1153" s="2864"/>
    </row>
    <row r="1154" spans="1:17" s="2879" customFormat="1" ht="15" hidden="1" customHeight="1">
      <c r="A1154" s="3911"/>
      <c r="B1154" s="3913"/>
      <c r="C1154" s="3925"/>
      <c r="D1154" s="3928"/>
      <c r="E1154" s="2869" t="s">
        <v>837</v>
      </c>
      <c r="F1154" s="2870">
        <f t="shared" si="134"/>
        <v>0</v>
      </c>
      <c r="G1154" s="2870"/>
      <c r="H1154" s="2870"/>
      <c r="I1154" s="2870"/>
      <c r="J1154" s="2871"/>
      <c r="K1154" s="2864"/>
      <c r="L1154" s="2864"/>
      <c r="M1154" s="2864"/>
      <c r="N1154" s="2864"/>
      <c r="O1154" s="2864"/>
      <c r="P1154" s="2864"/>
      <c r="Q1154" s="2864"/>
    </row>
    <row r="1155" spans="1:17" s="2879" customFormat="1" ht="15" customHeight="1">
      <c r="A1155" s="3911"/>
      <c r="B1155" s="3913"/>
      <c r="C1155" s="3925"/>
      <c r="D1155" s="3928"/>
      <c r="E1155" s="2869" t="s">
        <v>855</v>
      </c>
      <c r="F1155" s="2870">
        <f t="shared" si="134"/>
        <v>8941</v>
      </c>
      <c r="G1155" s="2870"/>
      <c r="H1155" s="2870"/>
      <c r="I1155" s="2870">
        <v>8941</v>
      </c>
      <c r="J1155" s="2871"/>
      <c r="K1155" s="2864"/>
      <c r="L1155" s="2864"/>
      <c r="M1155" s="2864"/>
      <c r="N1155" s="2864"/>
      <c r="O1155" s="2864"/>
      <c r="P1155" s="2864"/>
      <c r="Q1155" s="2864"/>
    </row>
    <row r="1156" spans="1:17" s="2879" customFormat="1" ht="15" customHeight="1">
      <c r="A1156" s="3911"/>
      <c r="B1156" s="3913"/>
      <c r="C1156" s="3925"/>
      <c r="D1156" s="3928"/>
      <c r="E1156" s="2869" t="s">
        <v>856</v>
      </c>
      <c r="F1156" s="2870">
        <f t="shared" si="134"/>
        <v>1668</v>
      </c>
      <c r="G1156" s="2870">
        <v>1668</v>
      </c>
      <c r="H1156" s="2870"/>
      <c r="I1156" s="2870"/>
      <c r="J1156" s="2871"/>
      <c r="K1156" s="2864"/>
      <c r="L1156" s="2864"/>
      <c r="M1156" s="2864"/>
      <c r="N1156" s="2864"/>
      <c r="O1156" s="2864"/>
      <c r="P1156" s="2864"/>
      <c r="Q1156" s="2864"/>
    </row>
    <row r="1157" spans="1:17" s="2879" customFormat="1" ht="22.5">
      <c r="A1157" s="3911"/>
      <c r="B1157" s="3913"/>
      <c r="C1157" s="3925"/>
      <c r="D1157" s="3928"/>
      <c r="E1157" s="2880" t="s">
        <v>1312</v>
      </c>
      <c r="F1157" s="2881">
        <f>SUM(F1158:F1182)</f>
        <v>382400</v>
      </c>
      <c r="G1157" s="2881">
        <f>SUM(G1158:G1182)</f>
        <v>60113</v>
      </c>
      <c r="H1157" s="2881">
        <f>SUM(H1158:H1182)</f>
        <v>0</v>
      </c>
      <c r="I1157" s="2881">
        <f>SUM(I1158:I1182)</f>
        <v>322287</v>
      </c>
      <c r="J1157" s="2882">
        <f>SUM(J1158:J1182)</f>
        <v>0</v>
      </c>
      <c r="K1157" s="2864"/>
      <c r="L1157" s="2864"/>
      <c r="M1157" s="2864"/>
      <c r="N1157" s="2864"/>
      <c r="O1157" s="2864"/>
      <c r="P1157" s="2864"/>
      <c r="Q1157" s="2864"/>
    </row>
    <row r="1158" spans="1:17" s="2879" customFormat="1" ht="15" customHeight="1">
      <c r="A1158" s="3911"/>
      <c r="B1158" s="3913"/>
      <c r="C1158" s="3925"/>
      <c r="D1158" s="3928"/>
      <c r="E1158" s="2869" t="s">
        <v>1018</v>
      </c>
      <c r="F1158" s="2870">
        <f t="shared" ref="F1158:F1182" si="135">SUM(G1158:J1158)</f>
        <v>5900</v>
      </c>
      <c r="G1158" s="2870"/>
      <c r="H1158" s="2870"/>
      <c r="I1158" s="2870">
        <v>5900</v>
      </c>
      <c r="J1158" s="2871"/>
      <c r="K1158" s="2864"/>
      <c r="L1158" s="2864"/>
      <c r="M1158" s="2864"/>
      <c r="N1158" s="2864"/>
      <c r="O1158" s="2864"/>
      <c r="P1158" s="2864"/>
      <c r="Q1158" s="2864"/>
    </row>
    <row r="1159" spans="1:17" s="2879" customFormat="1" ht="15" customHeight="1">
      <c r="A1159" s="3911"/>
      <c r="B1159" s="3913"/>
      <c r="C1159" s="3925"/>
      <c r="D1159" s="3928"/>
      <c r="E1159" s="2869" t="s">
        <v>1019</v>
      </c>
      <c r="F1159" s="2870">
        <f t="shared" si="135"/>
        <v>1100</v>
      </c>
      <c r="G1159" s="2870">
        <v>1100</v>
      </c>
      <c r="H1159" s="2870"/>
      <c r="I1159" s="2870"/>
      <c r="J1159" s="2871"/>
      <c r="K1159" s="2864"/>
      <c r="L1159" s="2864"/>
      <c r="M1159" s="2864"/>
      <c r="N1159" s="2864"/>
      <c r="O1159" s="2864"/>
      <c r="P1159" s="2864"/>
      <c r="Q1159" s="2864"/>
    </row>
    <row r="1160" spans="1:17" s="2879" customFormat="1" ht="15" customHeight="1">
      <c r="A1160" s="3911"/>
      <c r="B1160" s="3913"/>
      <c r="C1160" s="3925"/>
      <c r="D1160" s="3928"/>
      <c r="E1160" s="2869" t="s">
        <v>841</v>
      </c>
      <c r="F1160" s="2870">
        <f t="shared" si="135"/>
        <v>71975</v>
      </c>
      <c r="G1160" s="2870"/>
      <c r="H1160" s="2870"/>
      <c r="I1160" s="2870">
        <v>71975</v>
      </c>
      <c r="J1160" s="2871"/>
      <c r="K1160" s="2864"/>
      <c r="L1160" s="2864"/>
      <c r="M1160" s="2864"/>
      <c r="N1160" s="2864"/>
      <c r="O1160" s="2864"/>
      <c r="P1160" s="2864"/>
      <c r="Q1160" s="2864"/>
    </row>
    <row r="1161" spans="1:17" s="2879" customFormat="1" ht="15" customHeight="1">
      <c r="A1161" s="3911"/>
      <c r="B1161" s="3913"/>
      <c r="C1161" s="3925"/>
      <c r="D1161" s="3928"/>
      <c r="E1161" s="2869" t="s">
        <v>842</v>
      </c>
      <c r="F1161" s="2870">
        <f t="shared" si="135"/>
        <v>13425</v>
      </c>
      <c r="G1161" s="2870">
        <v>13425</v>
      </c>
      <c r="H1161" s="2870"/>
      <c r="I1161" s="2870"/>
      <c r="J1161" s="2871"/>
      <c r="K1161" s="2864"/>
      <c r="L1161" s="2864"/>
      <c r="M1161" s="2864"/>
      <c r="N1161" s="2864"/>
      <c r="O1161" s="2864"/>
      <c r="P1161" s="2864"/>
      <c r="Q1161" s="2864"/>
    </row>
    <row r="1162" spans="1:17" s="2879" customFormat="1" ht="15" customHeight="1">
      <c r="A1162" s="3911"/>
      <c r="B1162" s="3913"/>
      <c r="C1162" s="3925"/>
      <c r="D1162" s="3928"/>
      <c r="E1162" s="2869" t="s">
        <v>1023</v>
      </c>
      <c r="F1162" s="2870">
        <f t="shared" si="135"/>
        <v>39106</v>
      </c>
      <c r="G1162" s="2870"/>
      <c r="H1162" s="2870"/>
      <c r="I1162" s="2870">
        <v>39106</v>
      </c>
      <c r="J1162" s="2871"/>
      <c r="K1162" s="2864"/>
      <c r="L1162" s="2864"/>
      <c r="M1162" s="2864"/>
      <c r="N1162" s="2864"/>
      <c r="O1162" s="2864"/>
      <c r="P1162" s="2864"/>
      <c r="Q1162" s="2864"/>
    </row>
    <row r="1163" spans="1:17" s="2879" customFormat="1" ht="15" customHeight="1">
      <c r="A1163" s="3911"/>
      <c r="B1163" s="3913"/>
      <c r="C1163" s="3925"/>
      <c r="D1163" s="3928"/>
      <c r="E1163" s="2869" t="s">
        <v>1024</v>
      </c>
      <c r="F1163" s="2870">
        <f t="shared" si="135"/>
        <v>7294</v>
      </c>
      <c r="G1163" s="2870">
        <v>7294</v>
      </c>
      <c r="H1163" s="2870"/>
      <c r="I1163" s="2870"/>
      <c r="J1163" s="2871"/>
      <c r="K1163" s="2864"/>
      <c r="L1163" s="2864"/>
      <c r="M1163" s="2864"/>
      <c r="N1163" s="2864"/>
      <c r="O1163" s="2864"/>
      <c r="P1163" s="2864"/>
      <c r="Q1163" s="2864"/>
    </row>
    <row r="1164" spans="1:17" s="2879" customFormat="1" ht="15" customHeight="1">
      <c r="A1164" s="3911"/>
      <c r="B1164" s="3913"/>
      <c r="C1164" s="3925"/>
      <c r="D1164" s="3928"/>
      <c r="E1164" s="2869" t="s">
        <v>843</v>
      </c>
      <c r="F1164" s="2870">
        <f t="shared" si="135"/>
        <v>7585</v>
      </c>
      <c r="G1164" s="2870"/>
      <c r="H1164" s="2870"/>
      <c r="I1164" s="2870">
        <v>7585</v>
      </c>
      <c r="J1164" s="2871"/>
      <c r="K1164" s="2864"/>
      <c r="L1164" s="2864"/>
      <c r="M1164" s="2864"/>
      <c r="N1164" s="2864"/>
      <c r="O1164" s="2864"/>
      <c r="P1164" s="2864"/>
      <c r="Q1164" s="2864"/>
    </row>
    <row r="1165" spans="1:17" s="2879" customFormat="1" ht="15" customHeight="1">
      <c r="A1165" s="3911"/>
      <c r="B1165" s="3913"/>
      <c r="C1165" s="3925"/>
      <c r="D1165" s="3928"/>
      <c r="E1165" s="2869" t="s">
        <v>844</v>
      </c>
      <c r="F1165" s="2870">
        <f t="shared" si="135"/>
        <v>1415</v>
      </c>
      <c r="G1165" s="2870">
        <v>1415</v>
      </c>
      <c r="H1165" s="2870"/>
      <c r="I1165" s="2870"/>
      <c r="J1165" s="2871"/>
      <c r="K1165" s="2864"/>
      <c r="L1165" s="2864"/>
      <c r="M1165" s="2864"/>
      <c r="N1165" s="2864"/>
      <c r="O1165" s="2864"/>
      <c r="P1165" s="2864"/>
      <c r="Q1165" s="2864"/>
    </row>
    <row r="1166" spans="1:17" s="2879" customFormat="1" ht="15" customHeight="1">
      <c r="A1166" s="3911"/>
      <c r="B1166" s="3913"/>
      <c r="C1166" s="3925"/>
      <c r="D1166" s="3928"/>
      <c r="E1166" s="2869" t="s">
        <v>1025</v>
      </c>
      <c r="F1166" s="2870">
        <f t="shared" si="135"/>
        <v>2107</v>
      </c>
      <c r="G1166" s="2870"/>
      <c r="H1166" s="2870"/>
      <c r="I1166" s="2870">
        <v>2107</v>
      </c>
      <c r="J1166" s="2871"/>
      <c r="K1166" s="2864"/>
      <c r="L1166" s="2864"/>
      <c r="M1166" s="2864"/>
      <c r="N1166" s="2864"/>
      <c r="O1166" s="2864"/>
      <c r="P1166" s="2864"/>
      <c r="Q1166" s="2864"/>
    </row>
    <row r="1167" spans="1:17" s="2879" customFormat="1" ht="15" customHeight="1">
      <c r="A1167" s="3911"/>
      <c r="B1167" s="3913"/>
      <c r="C1167" s="3925"/>
      <c r="D1167" s="3928"/>
      <c r="E1167" s="2869" t="s">
        <v>1026</v>
      </c>
      <c r="F1167" s="2870">
        <f t="shared" si="135"/>
        <v>393</v>
      </c>
      <c r="G1167" s="2870">
        <v>393</v>
      </c>
      <c r="H1167" s="2870"/>
      <c r="I1167" s="2870"/>
      <c r="J1167" s="2871"/>
      <c r="K1167" s="2864"/>
      <c r="L1167" s="2864"/>
      <c r="M1167" s="2864"/>
      <c r="N1167" s="2864"/>
      <c r="O1167" s="2864"/>
      <c r="P1167" s="2864"/>
      <c r="Q1167" s="2864"/>
    </row>
    <row r="1168" spans="1:17" s="2879" customFormat="1" ht="15" customHeight="1">
      <c r="A1168" s="3911"/>
      <c r="B1168" s="3913"/>
      <c r="C1168" s="3925"/>
      <c r="D1168" s="3928"/>
      <c r="E1168" s="2869" t="s">
        <v>845</v>
      </c>
      <c r="F1168" s="2870">
        <f t="shared" si="135"/>
        <v>133668</v>
      </c>
      <c r="G1168" s="2870"/>
      <c r="H1168" s="2870"/>
      <c r="I1168" s="2870">
        <v>133668</v>
      </c>
      <c r="J1168" s="2871"/>
      <c r="K1168" s="2864"/>
      <c r="L1168" s="2864"/>
      <c r="M1168" s="2864"/>
      <c r="N1168" s="2864"/>
      <c r="O1168" s="2864"/>
      <c r="P1168" s="2864"/>
      <c r="Q1168" s="2864"/>
    </row>
    <row r="1169" spans="1:17" s="2879" customFormat="1" ht="15" customHeight="1">
      <c r="A1169" s="3911"/>
      <c r="B1169" s="3913"/>
      <c r="C1169" s="3925"/>
      <c r="D1169" s="3928"/>
      <c r="E1169" s="2869" t="s">
        <v>846</v>
      </c>
      <c r="F1169" s="2870">
        <f t="shared" si="135"/>
        <v>24932</v>
      </c>
      <c r="G1169" s="2870">
        <v>24932</v>
      </c>
      <c r="H1169" s="2870"/>
      <c r="I1169" s="2870"/>
      <c r="J1169" s="2871"/>
      <c r="K1169" s="2864"/>
      <c r="L1169" s="2864"/>
      <c r="M1169" s="2864"/>
      <c r="N1169" s="2864"/>
      <c r="O1169" s="2864"/>
      <c r="P1169" s="2864"/>
      <c r="Q1169" s="2864"/>
    </row>
    <row r="1170" spans="1:17" s="2879" customFormat="1" ht="15" customHeight="1">
      <c r="A1170" s="3911"/>
      <c r="B1170" s="3913"/>
      <c r="C1170" s="3925"/>
      <c r="D1170" s="3928"/>
      <c r="E1170" s="2869" t="s">
        <v>1027</v>
      </c>
      <c r="F1170" s="2870">
        <f t="shared" si="135"/>
        <v>5057</v>
      </c>
      <c r="G1170" s="2870"/>
      <c r="H1170" s="2870"/>
      <c r="I1170" s="2870">
        <v>5057</v>
      </c>
      <c r="J1170" s="2871"/>
      <c r="K1170" s="2864"/>
      <c r="L1170" s="2864"/>
      <c r="M1170" s="2864"/>
      <c r="N1170" s="2864"/>
      <c r="O1170" s="2864"/>
      <c r="P1170" s="2864"/>
      <c r="Q1170" s="2864"/>
    </row>
    <row r="1171" spans="1:17" s="2879" customFormat="1" ht="15" customHeight="1">
      <c r="A1171" s="3911"/>
      <c r="B1171" s="3913"/>
      <c r="C1171" s="3925"/>
      <c r="D1171" s="3928"/>
      <c r="E1171" s="2869" t="s">
        <v>1053</v>
      </c>
      <c r="F1171" s="2870">
        <f t="shared" si="135"/>
        <v>943</v>
      </c>
      <c r="G1171" s="2870">
        <v>943</v>
      </c>
      <c r="H1171" s="2870"/>
      <c r="I1171" s="2870"/>
      <c r="J1171" s="2871"/>
      <c r="K1171" s="2864"/>
      <c r="L1171" s="2864"/>
      <c r="M1171" s="2864"/>
      <c r="N1171" s="2864"/>
      <c r="O1171" s="2864"/>
      <c r="P1171" s="2864"/>
      <c r="Q1171" s="2864"/>
    </row>
    <row r="1172" spans="1:17" ht="15" hidden="1" customHeight="1">
      <c r="A1172" s="3911"/>
      <c r="B1172" s="3913"/>
      <c r="C1172" s="3925"/>
      <c r="D1172" s="3928"/>
      <c r="E1172" s="2869" t="s">
        <v>952</v>
      </c>
      <c r="F1172" s="2870">
        <f t="shared" si="135"/>
        <v>0</v>
      </c>
      <c r="G1172" s="2870"/>
      <c r="H1172" s="2870"/>
      <c r="I1172" s="2870">
        <v>0</v>
      </c>
      <c r="J1172" s="2871"/>
    </row>
    <row r="1173" spans="1:17" ht="15" hidden="1" customHeight="1">
      <c r="A1173" s="3911"/>
      <c r="B1173" s="3913"/>
      <c r="C1173" s="3925"/>
      <c r="D1173" s="3928"/>
      <c r="E1173" s="2869" t="s">
        <v>953</v>
      </c>
      <c r="F1173" s="2870">
        <f t="shared" si="135"/>
        <v>0</v>
      </c>
      <c r="G1173" s="2870">
        <v>0</v>
      </c>
      <c r="H1173" s="2870"/>
      <c r="I1173" s="2870"/>
      <c r="J1173" s="2871"/>
    </row>
    <row r="1174" spans="1:17" s="2879" customFormat="1" ht="15" customHeight="1">
      <c r="A1174" s="3911"/>
      <c r="B1174" s="3913"/>
      <c r="C1174" s="3925"/>
      <c r="D1174" s="3928"/>
      <c r="E1174" s="2869" t="s">
        <v>849</v>
      </c>
      <c r="F1174" s="2870">
        <f t="shared" si="135"/>
        <v>15170</v>
      </c>
      <c r="G1174" s="2870"/>
      <c r="H1174" s="2870"/>
      <c r="I1174" s="2870">
        <v>15170</v>
      </c>
      <c r="J1174" s="2871"/>
      <c r="K1174" s="2864"/>
      <c r="L1174" s="2864"/>
      <c r="M1174" s="2864"/>
      <c r="N1174" s="2864"/>
      <c r="O1174" s="2864"/>
      <c r="P1174" s="2864"/>
      <c r="Q1174" s="2864"/>
    </row>
    <row r="1175" spans="1:17" s="2879" customFormat="1" ht="15" customHeight="1">
      <c r="A1175" s="3911"/>
      <c r="B1175" s="3913"/>
      <c r="C1175" s="3925"/>
      <c r="D1175" s="3928"/>
      <c r="E1175" s="2869" t="s">
        <v>850</v>
      </c>
      <c r="F1175" s="2870">
        <f t="shared" si="135"/>
        <v>2830</v>
      </c>
      <c r="G1175" s="2870">
        <v>2830</v>
      </c>
      <c r="H1175" s="2870"/>
      <c r="I1175" s="2870"/>
      <c r="J1175" s="2871"/>
      <c r="K1175" s="2864"/>
      <c r="L1175" s="2864"/>
      <c r="M1175" s="2864"/>
      <c r="N1175" s="2864"/>
      <c r="O1175" s="2864"/>
      <c r="P1175" s="2864"/>
      <c r="Q1175" s="2864"/>
    </row>
    <row r="1176" spans="1:17" s="2879" customFormat="1" ht="15" hidden="1" customHeight="1">
      <c r="A1176" s="3911"/>
      <c r="B1176" s="3913"/>
      <c r="C1176" s="3925"/>
      <c r="D1176" s="3928"/>
      <c r="E1176" s="2869" t="s">
        <v>1031</v>
      </c>
      <c r="F1176" s="2870">
        <f t="shared" si="135"/>
        <v>0</v>
      </c>
      <c r="G1176" s="2870"/>
      <c r="H1176" s="2870"/>
      <c r="I1176" s="2870"/>
      <c r="J1176" s="2871"/>
      <c r="K1176" s="2864"/>
      <c r="L1176" s="2864"/>
      <c r="M1176" s="2864"/>
      <c r="N1176" s="2864"/>
      <c r="O1176" s="2864"/>
      <c r="P1176" s="2864"/>
      <c r="Q1176" s="2864"/>
    </row>
    <row r="1177" spans="1:17" s="2879" customFormat="1" ht="15" hidden="1" customHeight="1">
      <c r="A1177" s="3911"/>
      <c r="B1177" s="3913"/>
      <c r="C1177" s="3925"/>
      <c r="D1177" s="3928"/>
      <c r="E1177" s="2869" t="s">
        <v>1032</v>
      </c>
      <c r="F1177" s="2870">
        <f t="shared" si="135"/>
        <v>0</v>
      </c>
      <c r="G1177" s="2870"/>
      <c r="H1177" s="2870"/>
      <c r="I1177" s="2870"/>
      <c r="J1177" s="2871"/>
      <c r="K1177" s="2864"/>
      <c r="L1177" s="2864"/>
      <c r="M1177" s="2864"/>
      <c r="N1177" s="2864"/>
      <c r="O1177" s="2864"/>
      <c r="P1177" s="2864"/>
      <c r="Q1177" s="2864"/>
    </row>
    <row r="1178" spans="1:17" s="2879" customFormat="1" ht="15" customHeight="1">
      <c r="A1178" s="3911"/>
      <c r="B1178" s="3913"/>
      <c r="C1178" s="3925"/>
      <c r="D1178" s="3928"/>
      <c r="E1178" s="2869" t="s">
        <v>1033</v>
      </c>
      <c r="F1178" s="2870">
        <f t="shared" si="135"/>
        <v>1686</v>
      </c>
      <c r="G1178" s="2870"/>
      <c r="H1178" s="2870"/>
      <c r="I1178" s="2870">
        <v>1686</v>
      </c>
      <c r="J1178" s="2871"/>
      <c r="K1178" s="2864"/>
      <c r="L1178" s="2864"/>
      <c r="M1178" s="2864"/>
      <c r="N1178" s="2864"/>
      <c r="O1178" s="2864"/>
      <c r="P1178" s="2864"/>
      <c r="Q1178" s="2864"/>
    </row>
    <row r="1179" spans="1:17" s="2879" customFormat="1" ht="15" customHeight="1">
      <c r="A1179" s="3911"/>
      <c r="B1179" s="3913"/>
      <c r="C1179" s="3925"/>
      <c r="D1179" s="3928"/>
      <c r="E1179" s="2869" t="s">
        <v>1034</v>
      </c>
      <c r="F1179" s="2870">
        <f t="shared" si="135"/>
        <v>314</v>
      </c>
      <c r="G1179" s="2870">
        <v>314</v>
      </c>
      <c r="H1179" s="2870"/>
      <c r="I1179" s="2870"/>
      <c r="J1179" s="2871"/>
      <c r="K1179" s="2864"/>
      <c r="L1179" s="2864"/>
      <c r="M1179" s="2864"/>
      <c r="N1179" s="2864"/>
      <c r="O1179" s="2864"/>
      <c r="P1179" s="2864"/>
      <c r="Q1179" s="2864"/>
    </row>
    <row r="1180" spans="1:17" s="2879" customFormat="1" ht="15" customHeight="1">
      <c r="A1180" s="3911"/>
      <c r="B1180" s="3913"/>
      <c r="C1180" s="3925"/>
      <c r="D1180" s="3928"/>
      <c r="E1180" s="2869" t="s">
        <v>853</v>
      </c>
      <c r="F1180" s="2870">
        <f t="shared" si="135"/>
        <v>40033</v>
      </c>
      <c r="G1180" s="2870"/>
      <c r="H1180" s="2870"/>
      <c r="I1180" s="2870">
        <v>40033</v>
      </c>
      <c r="J1180" s="2871"/>
      <c r="K1180" s="2864"/>
      <c r="L1180" s="2864"/>
      <c r="M1180" s="2864"/>
      <c r="N1180" s="2864"/>
      <c r="O1180" s="2864"/>
      <c r="P1180" s="2864"/>
      <c r="Q1180" s="2864"/>
    </row>
    <row r="1181" spans="1:17" s="2879" customFormat="1" ht="15" customHeight="1">
      <c r="A1181" s="3911"/>
      <c r="B1181" s="3913"/>
      <c r="C1181" s="3925"/>
      <c r="D1181" s="3928"/>
      <c r="E1181" s="2869" t="s">
        <v>854</v>
      </c>
      <c r="F1181" s="2870">
        <f t="shared" si="135"/>
        <v>7467</v>
      </c>
      <c r="G1181" s="2870">
        <v>7467</v>
      </c>
      <c r="H1181" s="2870"/>
      <c r="I1181" s="2870"/>
      <c r="J1181" s="2871"/>
      <c r="K1181" s="2864"/>
      <c r="L1181" s="2864"/>
      <c r="M1181" s="2864"/>
      <c r="N1181" s="2864"/>
      <c r="O1181" s="2864"/>
      <c r="P1181" s="2864"/>
      <c r="Q1181" s="2864"/>
    </row>
    <row r="1182" spans="1:17" s="2879" customFormat="1" ht="15" hidden="1" customHeight="1">
      <c r="A1182" s="3911"/>
      <c r="B1182" s="3913"/>
      <c r="C1182" s="3925"/>
      <c r="D1182" s="3928"/>
      <c r="E1182" s="2869" t="s">
        <v>1048</v>
      </c>
      <c r="F1182" s="2870">
        <f t="shared" si="135"/>
        <v>0</v>
      </c>
      <c r="G1182" s="2870"/>
      <c r="H1182" s="2870"/>
      <c r="I1182" s="2870"/>
      <c r="J1182" s="2871"/>
      <c r="K1182" s="2864"/>
      <c r="L1182" s="2864"/>
      <c r="M1182" s="2864"/>
      <c r="N1182" s="2864"/>
      <c r="O1182" s="2864"/>
      <c r="P1182" s="2864"/>
      <c r="Q1182" s="2864"/>
    </row>
    <row r="1183" spans="1:17" s="2879" customFormat="1" ht="15" customHeight="1">
      <c r="A1183" s="3920"/>
      <c r="B1183" s="3937"/>
      <c r="C1183" s="3926"/>
      <c r="D1183" s="3929"/>
      <c r="E1183" s="2872" t="s">
        <v>1305</v>
      </c>
      <c r="F1183" s="2867">
        <f>SUM(F1184:F1185)</f>
        <v>0</v>
      </c>
      <c r="G1183" s="2867">
        <f>SUM(G1184:G1185)</f>
        <v>0</v>
      </c>
      <c r="H1183" s="2867">
        <f>SUM(H1184:H1185)</f>
        <v>0</v>
      </c>
      <c r="I1183" s="2867">
        <f>SUM(I1184:I1185)</f>
        <v>0</v>
      </c>
      <c r="J1183" s="2868">
        <f>SUM(J1184:J1185)</f>
        <v>0</v>
      </c>
      <c r="K1183" s="2864"/>
      <c r="L1183" s="2864"/>
      <c r="M1183" s="2864"/>
      <c r="N1183" s="2864"/>
      <c r="O1183" s="2864"/>
      <c r="P1183" s="2864"/>
      <c r="Q1183" s="2864"/>
    </row>
    <row r="1184" spans="1:17" s="2879" customFormat="1" ht="15" hidden="1" customHeight="1">
      <c r="A1184" s="2933"/>
      <c r="B1184" s="2934"/>
      <c r="C1184" s="2935"/>
      <c r="D1184" s="2936"/>
      <c r="E1184" s="2895" t="s">
        <v>933</v>
      </c>
      <c r="F1184" s="2896">
        <f>SUM(G1184:J1184)</f>
        <v>0</v>
      </c>
      <c r="G1184" s="2896"/>
      <c r="H1184" s="2896"/>
      <c r="I1184" s="2896"/>
      <c r="J1184" s="2897"/>
      <c r="K1184" s="2864"/>
      <c r="L1184" s="2864"/>
      <c r="M1184" s="2864"/>
      <c r="N1184" s="2864"/>
      <c r="O1184" s="2864"/>
      <c r="P1184" s="2864"/>
      <c r="Q1184" s="2864"/>
    </row>
    <row r="1185" spans="1:17" s="2879" customFormat="1" ht="15" hidden="1" customHeight="1">
      <c r="A1185" s="2937"/>
      <c r="B1185" s="2938"/>
      <c r="C1185" s="2939"/>
      <c r="D1185" s="2940"/>
      <c r="E1185" s="2916">
        <v>6069</v>
      </c>
      <c r="F1185" s="2896">
        <f>SUM(G1185:J1185)</f>
        <v>0</v>
      </c>
      <c r="G1185" s="2896"/>
      <c r="H1185" s="2896"/>
      <c r="I1185" s="2896"/>
      <c r="J1185" s="2897"/>
      <c r="K1185" s="2864"/>
      <c r="L1185" s="2864"/>
      <c r="M1185" s="2864"/>
      <c r="N1185" s="2864"/>
      <c r="O1185" s="2864"/>
      <c r="P1185" s="2864"/>
      <c r="Q1185" s="2864"/>
    </row>
    <row r="1186" spans="1:17" s="2879" customFormat="1" ht="22.5">
      <c r="A1186" s="3910" t="s">
        <v>1313</v>
      </c>
      <c r="B1186" s="3912" t="s">
        <v>1447</v>
      </c>
      <c r="C1186" s="3924">
        <v>853</v>
      </c>
      <c r="D1186" s="3927" t="s">
        <v>50</v>
      </c>
      <c r="E1186" s="2861" t="s">
        <v>1304</v>
      </c>
      <c r="F1186" s="2862">
        <f>SUM(F1187,F1231)</f>
        <v>15797385</v>
      </c>
      <c r="G1186" s="2862">
        <f>SUM(G1187,G1231)</f>
        <v>2369607</v>
      </c>
      <c r="H1186" s="2862">
        <f>SUM(H1187,H1231)</f>
        <v>0</v>
      </c>
      <c r="I1186" s="2862">
        <f>SUM(I1187,I1231)</f>
        <v>13427778</v>
      </c>
      <c r="J1186" s="2863">
        <f>SUM(J1187,J1231)</f>
        <v>0</v>
      </c>
      <c r="K1186" s="2864"/>
      <c r="L1186" s="2864"/>
      <c r="M1186" s="2864"/>
      <c r="N1186" s="2864"/>
      <c r="O1186" s="2864"/>
      <c r="P1186" s="2864"/>
      <c r="Q1186" s="2864"/>
    </row>
    <row r="1187" spans="1:17" s="2879" customFormat="1" ht="21">
      <c r="A1187" s="3911"/>
      <c r="B1187" s="3913"/>
      <c r="C1187" s="3925"/>
      <c r="D1187" s="3928"/>
      <c r="E1187" s="2866" t="s">
        <v>1310</v>
      </c>
      <c r="F1187" s="2867">
        <f>SUM(F1188,F1191,F1204)</f>
        <v>15797385</v>
      </c>
      <c r="G1187" s="2867">
        <f>SUM(G1188,G1191,G1204)</f>
        <v>2369607</v>
      </c>
      <c r="H1187" s="2867">
        <f>SUM(H1188,H1191,H1204)</f>
        <v>0</v>
      </c>
      <c r="I1187" s="2867">
        <f>SUM(I1188,I1191,I1204)</f>
        <v>13427778</v>
      </c>
      <c r="J1187" s="2868">
        <f>SUM(J1188,J1191,J1204)</f>
        <v>0</v>
      </c>
      <c r="K1187" s="2865"/>
      <c r="L1187" s="2865"/>
      <c r="M1187" s="2865"/>
      <c r="N1187" s="2865"/>
      <c r="O1187" s="2865"/>
      <c r="P1187" s="2865"/>
      <c r="Q1187" s="2864"/>
    </row>
    <row r="1188" spans="1:17" s="2879" customFormat="1" ht="15" hidden="1" customHeight="1">
      <c r="A1188" s="3911"/>
      <c r="B1188" s="3913"/>
      <c r="C1188" s="3925"/>
      <c r="D1188" s="3928"/>
      <c r="E1188" s="2880" t="s">
        <v>1324</v>
      </c>
      <c r="F1188" s="2881">
        <f>SUM(F1189:F1190)</f>
        <v>0</v>
      </c>
      <c r="G1188" s="2881">
        <f>SUM(G1189:G1190)</f>
        <v>0</v>
      </c>
      <c r="H1188" s="2881">
        <f>SUM(H1189:H1190)</f>
        <v>0</v>
      </c>
      <c r="I1188" s="2881">
        <f>SUM(I1189:I1190)</f>
        <v>0</v>
      </c>
      <c r="J1188" s="2882">
        <f>SUM(J1189:J1190)</f>
        <v>0</v>
      </c>
      <c r="K1188" s="2864"/>
      <c r="L1188" s="2864"/>
      <c r="M1188" s="2864"/>
      <c r="N1188" s="2864"/>
      <c r="O1188" s="2864"/>
      <c r="P1188" s="2864"/>
      <c r="Q1188" s="2864"/>
    </row>
    <row r="1189" spans="1:17" s="2879" customFormat="1" ht="15" hidden="1" customHeight="1">
      <c r="A1189" s="3911"/>
      <c r="B1189" s="3913"/>
      <c r="C1189" s="3925"/>
      <c r="D1189" s="3928"/>
      <c r="E1189" s="2869"/>
      <c r="F1189" s="2870">
        <f>SUM(G1189:J1189)</f>
        <v>0</v>
      </c>
      <c r="G1189" s="2870"/>
      <c r="H1189" s="2870"/>
      <c r="I1189" s="2870"/>
      <c r="J1189" s="2871"/>
      <c r="K1189" s="2864"/>
      <c r="L1189" s="2864"/>
      <c r="M1189" s="2864"/>
      <c r="N1189" s="2864"/>
      <c r="O1189" s="2864"/>
      <c r="P1189" s="2864"/>
      <c r="Q1189" s="2864"/>
    </row>
    <row r="1190" spans="1:17" s="2879" customFormat="1" ht="12" hidden="1">
      <c r="A1190" s="3911"/>
      <c r="B1190" s="3913"/>
      <c r="C1190" s="3925"/>
      <c r="D1190" s="3928"/>
      <c r="E1190" s="2869"/>
      <c r="F1190" s="2870">
        <f>SUM(G1190:J1190)</f>
        <v>0</v>
      </c>
      <c r="G1190" s="2870"/>
      <c r="H1190" s="2870"/>
      <c r="I1190" s="2870"/>
      <c r="J1190" s="2871"/>
      <c r="K1190" s="2864"/>
      <c r="L1190" s="2864"/>
      <c r="M1190" s="2864"/>
      <c r="N1190" s="2864"/>
      <c r="O1190" s="2864"/>
      <c r="P1190" s="2864"/>
      <c r="Q1190" s="2864"/>
    </row>
    <row r="1191" spans="1:17" s="2879" customFormat="1" ht="22.5">
      <c r="A1191" s="3911"/>
      <c r="B1191" s="3913"/>
      <c r="C1191" s="3925"/>
      <c r="D1191" s="3928"/>
      <c r="E1191" s="2880" t="s">
        <v>1311</v>
      </c>
      <c r="F1191" s="2881">
        <f>SUM(F1192:F1203)</f>
        <v>14714105</v>
      </c>
      <c r="G1191" s="2881">
        <f>SUM(G1192:G1203)</f>
        <v>2207115</v>
      </c>
      <c r="H1191" s="2881">
        <f>SUM(H1192:H1203)</f>
        <v>0</v>
      </c>
      <c r="I1191" s="2881">
        <f>SUM(I1192:I1203)</f>
        <v>12506990</v>
      </c>
      <c r="J1191" s="2882">
        <f>SUM(J1192:J1203)</f>
        <v>0</v>
      </c>
      <c r="K1191" s="2865"/>
      <c r="L1191" s="2865"/>
      <c r="M1191" s="2865"/>
      <c r="N1191" s="2865"/>
      <c r="O1191" s="2865"/>
      <c r="P1191" s="2865"/>
      <c r="Q1191" s="2864"/>
    </row>
    <row r="1192" spans="1:17" s="2879" customFormat="1" ht="15" customHeight="1">
      <c r="A1192" s="3911"/>
      <c r="B1192" s="3913"/>
      <c r="C1192" s="3925"/>
      <c r="D1192" s="3928"/>
      <c r="E1192" s="2869" t="s">
        <v>828</v>
      </c>
      <c r="F1192" s="2870">
        <f t="shared" ref="F1192:F1203" si="136">SUM(G1192:J1192)</f>
        <v>9785579</v>
      </c>
      <c r="G1192" s="2870"/>
      <c r="H1192" s="2870"/>
      <c r="I1192" s="2870">
        <v>9785579</v>
      </c>
      <c r="J1192" s="2871"/>
      <c r="K1192" s="2914"/>
      <c r="L1192" s="2914"/>
      <c r="M1192" s="2914"/>
      <c r="N1192" s="2914"/>
      <c r="O1192" s="2914"/>
      <c r="P1192" s="2865"/>
      <c r="Q1192" s="2864"/>
    </row>
    <row r="1193" spans="1:17" s="2879" customFormat="1" ht="15" customHeight="1">
      <c r="A1193" s="3911"/>
      <c r="B1193" s="3913"/>
      <c r="C1193" s="3925"/>
      <c r="D1193" s="3928"/>
      <c r="E1193" s="2869" t="s">
        <v>829</v>
      </c>
      <c r="F1193" s="2870">
        <f t="shared" si="136"/>
        <v>1726867</v>
      </c>
      <c r="G1193" s="2870">
        <v>1726867</v>
      </c>
      <c r="H1193" s="2870"/>
      <c r="I1193" s="2870"/>
      <c r="J1193" s="2871"/>
      <c r="K1193" s="2864"/>
      <c r="L1193" s="2864"/>
      <c r="M1193" s="2864"/>
      <c r="N1193" s="2864"/>
      <c r="O1193" s="2864"/>
      <c r="P1193" s="2864"/>
      <c r="Q1193" s="2864"/>
    </row>
    <row r="1194" spans="1:17" s="2879" customFormat="1" ht="15" customHeight="1">
      <c r="A1194" s="3911"/>
      <c r="B1194" s="3913"/>
      <c r="C1194" s="3925"/>
      <c r="D1194" s="3928"/>
      <c r="E1194" s="2869" t="s">
        <v>830</v>
      </c>
      <c r="F1194" s="2870">
        <f t="shared" si="136"/>
        <v>633759</v>
      </c>
      <c r="G1194" s="2870"/>
      <c r="H1194" s="2870"/>
      <c r="I1194" s="2870">
        <v>633759</v>
      </c>
      <c r="J1194" s="2871"/>
      <c r="K1194" s="2864"/>
      <c r="L1194" s="2864"/>
      <c r="M1194" s="2864"/>
      <c r="N1194" s="2864"/>
      <c r="O1194" s="2864"/>
      <c r="P1194" s="2864"/>
      <c r="Q1194" s="2864"/>
    </row>
    <row r="1195" spans="1:17" s="2879" customFormat="1" ht="15" customHeight="1">
      <c r="A1195" s="3911"/>
      <c r="B1195" s="3913"/>
      <c r="C1195" s="3925"/>
      <c r="D1195" s="3928"/>
      <c r="E1195" s="2869" t="s">
        <v>831</v>
      </c>
      <c r="F1195" s="2870">
        <f t="shared" si="136"/>
        <v>111840</v>
      </c>
      <c r="G1195" s="2870">
        <v>111840</v>
      </c>
      <c r="H1195" s="2870"/>
      <c r="I1195" s="2870"/>
      <c r="J1195" s="2871"/>
      <c r="K1195" s="2864"/>
      <c r="L1195" s="2864"/>
      <c r="M1195" s="2864"/>
      <c r="N1195" s="2864"/>
      <c r="O1195" s="2864"/>
      <c r="P1195" s="2864"/>
      <c r="Q1195" s="2864"/>
    </row>
    <row r="1196" spans="1:17" s="2879" customFormat="1" ht="15" customHeight="1">
      <c r="A1196" s="3911"/>
      <c r="B1196" s="3913"/>
      <c r="C1196" s="3925"/>
      <c r="D1196" s="3928"/>
      <c r="E1196" s="2869" t="s">
        <v>832</v>
      </c>
      <c r="F1196" s="2870">
        <f t="shared" si="136"/>
        <v>1791085</v>
      </c>
      <c r="G1196" s="2870"/>
      <c r="H1196" s="2870"/>
      <c r="I1196" s="2870">
        <v>1791085</v>
      </c>
      <c r="J1196" s="2871"/>
      <c r="K1196" s="2864"/>
      <c r="L1196" s="2864"/>
      <c r="M1196" s="2864"/>
      <c r="N1196" s="2864"/>
      <c r="O1196" s="2864"/>
      <c r="P1196" s="2864"/>
      <c r="Q1196" s="2864"/>
    </row>
    <row r="1197" spans="1:17" s="2879" customFormat="1" ht="15" customHeight="1">
      <c r="A1197" s="3911"/>
      <c r="B1197" s="3913"/>
      <c r="C1197" s="3925"/>
      <c r="D1197" s="3928"/>
      <c r="E1197" s="2869" t="s">
        <v>833</v>
      </c>
      <c r="F1197" s="2870">
        <f t="shared" si="136"/>
        <v>316073</v>
      </c>
      <c r="G1197" s="2870">
        <v>316073</v>
      </c>
      <c r="H1197" s="2870"/>
      <c r="I1197" s="2870"/>
      <c r="J1197" s="2871"/>
      <c r="K1197" s="2864"/>
      <c r="L1197" s="2864"/>
      <c r="M1197" s="2864"/>
      <c r="N1197" s="2864"/>
      <c r="O1197" s="2864"/>
      <c r="P1197" s="2864"/>
      <c r="Q1197" s="2864"/>
    </row>
    <row r="1198" spans="1:17" s="2879" customFormat="1" ht="15" customHeight="1">
      <c r="A1198" s="3911"/>
      <c r="B1198" s="3913"/>
      <c r="C1198" s="3925"/>
      <c r="D1198" s="3928"/>
      <c r="E1198" s="2869" t="s">
        <v>834</v>
      </c>
      <c r="F1198" s="2870">
        <f t="shared" si="136"/>
        <v>255274</v>
      </c>
      <c r="G1198" s="2870"/>
      <c r="H1198" s="2870"/>
      <c r="I1198" s="2870">
        <v>255274</v>
      </c>
      <c r="J1198" s="2871"/>
      <c r="K1198" s="2864"/>
      <c r="L1198" s="2864"/>
      <c r="M1198" s="2864"/>
      <c r="N1198" s="2864"/>
      <c r="O1198" s="2864"/>
      <c r="P1198" s="2864"/>
      <c r="Q1198" s="2864"/>
    </row>
    <row r="1199" spans="1:17" s="2879" customFormat="1" ht="15" customHeight="1">
      <c r="A1199" s="3911"/>
      <c r="B1199" s="3913"/>
      <c r="C1199" s="3925"/>
      <c r="D1199" s="3928"/>
      <c r="E1199" s="2869" t="s">
        <v>835</v>
      </c>
      <c r="F1199" s="2870">
        <f t="shared" si="136"/>
        <v>45048</v>
      </c>
      <c r="G1199" s="2870">
        <v>45048</v>
      </c>
      <c r="H1199" s="2870"/>
      <c r="I1199" s="2870"/>
      <c r="J1199" s="2871"/>
      <c r="K1199" s="2864"/>
      <c r="L1199" s="2864"/>
      <c r="M1199" s="2864"/>
      <c r="N1199" s="2864"/>
      <c r="O1199" s="2864"/>
      <c r="P1199" s="2864"/>
      <c r="Q1199" s="2864"/>
    </row>
    <row r="1200" spans="1:17" s="2879" customFormat="1" ht="15" customHeight="1">
      <c r="A1200" s="3911"/>
      <c r="B1200" s="3913"/>
      <c r="C1200" s="3925"/>
      <c r="D1200" s="3928"/>
      <c r="E1200" s="2869" t="s">
        <v>836</v>
      </c>
      <c r="F1200" s="2870">
        <f t="shared" si="136"/>
        <v>1700</v>
      </c>
      <c r="G1200" s="2870"/>
      <c r="H1200" s="2870"/>
      <c r="I1200" s="2870">
        <v>1700</v>
      </c>
      <c r="J1200" s="2871"/>
      <c r="K1200" s="2864"/>
      <c r="L1200" s="2864"/>
      <c r="M1200" s="2864"/>
      <c r="N1200" s="2864"/>
      <c r="O1200" s="2864"/>
      <c r="P1200" s="2864"/>
      <c r="Q1200" s="2864"/>
    </row>
    <row r="1201" spans="1:17" s="2879" customFormat="1" ht="15" customHeight="1">
      <c r="A1201" s="3911"/>
      <c r="B1201" s="3913"/>
      <c r="C1201" s="3925"/>
      <c r="D1201" s="3928"/>
      <c r="E1201" s="2869" t="s">
        <v>837</v>
      </c>
      <c r="F1201" s="2870">
        <f t="shared" si="136"/>
        <v>300</v>
      </c>
      <c r="G1201" s="2870">
        <v>300</v>
      </c>
      <c r="H1201" s="2870"/>
      <c r="I1201" s="2870"/>
      <c r="J1201" s="2871"/>
      <c r="K1201" s="2864"/>
      <c r="L1201" s="2864"/>
      <c r="M1201" s="2864"/>
      <c r="N1201" s="2864"/>
      <c r="O1201" s="2864"/>
      <c r="P1201" s="2864"/>
      <c r="Q1201" s="2864"/>
    </row>
    <row r="1202" spans="1:17" s="2879" customFormat="1" ht="15" customHeight="1">
      <c r="A1202" s="3911"/>
      <c r="B1202" s="3913"/>
      <c r="C1202" s="3925"/>
      <c r="D1202" s="3928"/>
      <c r="E1202" s="2869" t="s">
        <v>855</v>
      </c>
      <c r="F1202" s="2870">
        <f t="shared" si="136"/>
        <v>39593</v>
      </c>
      <c r="G1202" s="2870"/>
      <c r="H1202" s="2870"/>
      <c r="I1202" s="2870">
        <v>39593</v>
      </c>
      <c r="J1202" s="2871"/>
      <c r="K1202" s="2864"/>
      <c r="L1202" s="2864"/>
      <c r="M1202" s="2864"/>
      <c r="N1202" s="2864"/>
      <c r="O1202" s="2864"/>
      <c r="P1202" s="2864"/>
      <c r="Q1202" s="2864"/>
    </row>
    <row r="1203" spans="1:17" s="2879" customFormat="1" ht="15" customHeight="1">
      <c r="A1203" s="3911"/>
      <c r="B1203" s="3913"/>
      <c r="C1203" s="3925"/>
      <c r="D1203" s="3928"/>
      <c r="E1203" s="2869" t="s">
        <v>856</v>
      </c>
      <c r="F1203" s="2870">
        <f t="shared" si="136"/>
        <v>6987</v>
      </c>
      <c r="G1203" s="2870">
        <v>6987</v>
      </c>
      <c r="H1203" s="2870"/>
      <c r="I1203" s="2870"/>
      <c r="J1203" s="2871"/>
      <c r="K1203" s="2864"/>
      <c r="L1203" s="2864"/>
      <c r="M1203" s="2864"/>
      <c r="N1203" s="2864"/>
      <c r="O1203" s="2864"/>
      <c r="P1203" s="2864"/>
      <c r="Q1203" s="2864"/>
    </row>
    <row r="1204" spans="1:17" s="2879" customFormat="1" ht="22.5">
      <c r="A1204" s="3911"/>
      <c r="B1204" s="3913"/>
      <c r="C1204" s="3925"/>
      <c r="D1204" s="3928"/>
      <c r="E1204" s="2880" t="s">
        <v>1312</v>
      </c>
      <c r="F1204" s="2881">
        <f>SUM(F1205:F1230)</f>
        <v>1083280</v>
      </c>
      <c r="G1204" s="2881">
        <f>SUM(G1205:G1230)</f>
        <v>162492</v>
      </c>
      <c r="H1204" s="2881">
        <f>SUM(H1205:H1230)</f>
        <v>0</v>
      </c>
      <c r="I1204" s="2881">
        <f>SUM(I1205:I1230)</f>
        <v>920788</v>
      </c>
      <c r="J1204" s="2882">
        <f>SUM(J1205:J1230)</f>
        <v>0</v>
      </c>
      <c r="K1204" s="2864"/>
      <c r="L1204" s="2864"/>
      <c r="M1204" s="2864"/>
      <c r="N1204" s="2864"/>
      <c r="O1204" s="2864"/>
      <c r="P1204" s="2864"/>
      <c r="Q1204" s="2864"/>
    </row>
    <row r="1205" spans="1:17" s="2879" customFormat="1" ht="15" customHeight="1">
      <c r="A1205" s="3911"/>
      <c r="B1205" s="3913"/>
      <c r="C1205" s="3925"/>
      <c r="D1205" s="3928"/>
      <c r="E1205" s="2869" t="s">
        <v>1018</v>
      </c>
      <c r="F1205" s="2870">
        <f t="shared" ref="F1205:F1230" si="137">SUM(G1205:J1205)</f>
        <v>11900</v>
      </c>
      <c r="G1205" s="2870"/>
      <c r="H1205" s="2870"/>
      <c r="I1205" s="2870">
        <v>11900</v>
      </c>
      <c r="J1205" s="2871"/>
      <c r="K1205" s="2864"/>
      <c r="L1205" s="2864"/>
      <c r="M1205" s="2864"/>
      <c r="N1205" s="2864"/>
      <c r="O1205" s="2864"/>
      <c r="P1205" s="2864"/>
      <c r="Q1205" s="2864"/>
    </row>
    <row r="1206" spans="1:17" s="2879" customFormat="1" ht="15" customHeight="1">
      <c r="A1206" s="3911"/>
      <c r="B1206" s="3913"/>
      <c r="C1206" s="3925"/>
      <c r="D1206" s="3928"/>
      <c r="E1206" s="2869" t="s">
        <v>1019</v>
      </c>
      <c r="F1206" s="2870">
        <f t="shared" si="137"/>
        <v>2100</v>
      </c>
      <c r="G1206" s="2870">
        <v>2100</v>
      </c>
      <c r="H1206" s="2870"/>
      <c r="I1206" s="2870"/>
      <c r="J1206" s="2871"/>
      <c r="K1206" s="2864"/>
      <c r="L1206" s="2864"/>
      <c r="M1206" s="2864"/>
      <c r="N1206" s="2864"/>
      <c r="O1206" s="2864"/>
      <c r="P1206" s="2864"/>
      <c r="Q1206" s="2864"/>
    </row>
    <row r="1207" spans="1:17" s="2879" customFormat="1" ht="15" customHeight="1">
      <c r="A1207" s="3911"/>
      <c r="B1207" s="3913"/>
      <c r="C1207" s="3925"/>
      <c r="D1207" s="3928"/>
      <c r="E1207" s="2869" t="s">
        <v>841</v>
      </c>
      <c r="F1207" s="2870">
        <f t="shared" si="137"/>
        <v>194650</v>
      </c>
      <c r="G1207" s="2870"/>
      <c r="H1207" s="2870"/>
      <c r="I1207" s="2870">
        <v>194650</v>
      </c>
      <c r="J1207" s="2871"/>
      <c r="K1207" s="2864"/>
      <c r="L1207" s="2864"/>
      <c r="M1207" s="2864"/>
      <c r="N1207" s="2864"/>
      <c r="O1207" s="2864"/>
      <c r="P1207" s="2864"/>
      <c r="Q1207" s="2864"/>
    </row>
    <row r="1208" spans="1:17" s="2879" customFormat="1" ht="15" customHeight="1">
      <c r="A1208" s="3911"/>
      <c r="B1208" s="3913"/>
      <c r="C1208" s="3925"/>
      <c r="D1208" s="3928"/>
      <c r="E1208" s="2869" t="s">
        <v>842</v>
      </c>
      <c r="F1208" s="2870">
        <f t="shared" si="137"/>
        <v>34350</v>
      </c>
      <c r="G1208" s="2870">
        <v>34350</v>
      </c>
      <c r="H1208" s="2870"/>
      <c r="I1208" s="2870"/>
      <c r="J1208" s="2871"/>
      <c r="K1208" s="2864"/>
      <c r="L1208" s="2864"/>
      <c r="M1208" s="2864"/>
      <c r="N1208" s="2864"/>
      <c r="O1208" s="2864"/>
      <c r="P1208" s="2864"/>
      <c r="Q1208" s="2864"/>
    </row>
    <row r="1209" spans="1:17" s="2879" customFormat="1" ht="15" customHeight="1">
      <c r="A1209" s="3911"/>
      <c r="B1209" s="3913"/>
      <c r="C1209" s="3925"/>
      <c r="D1209" s="3928"/>
      <c r="E1209" s="2869" t="s">
        <v>1023</v>
      </c>
      <c r="F1209" s="2870">
        <f t="shared" si="137"/>
        <v>119000</v>
      </c>
      <c r="G1209" s="2870"/>
      <c r="H1209" s="2870"/>
      <c r="I1209" s="2870">
        <v>119000</v>
      </c>
      <c r="J1209" s="2871"/>
      <c r="K1209" s="2864"/>
      <c r="L1209" s="2864"/>
      <c r="M1209" s="2864"/>
      <c r="N1209" s="2864"/>
      <c r="O1209" s="2864"/>
      <c r="P1209" s="2864"/>
      <c r="Q1209" s="2864"/>
    </row>
    <row r="1210" spans="1:17" s="2879" customFormat="1" ht="15" customHeight="1">
      <c r="A1210" s="3911"/>
      <c r="B1210" s="3913"/>
      <c r="C1210" s="3925"/>
      <c r="D1210" s="3928"/>
      <c r="E1210" s="2869" t="s">
        <v>1024</v>
      </c>
      <c r="F1210" s="2870">
        <f t="shared" si="137"/>
        <v>21000</v>
      </c>
      <c r="G1210" s="2870">
        <v>21000</v>
      </c>
      <c r="H1210" s="2870"/>
      <c r="I1210" s="2870"/>
      <c r="J1210" s="2871"/>
      <c r="K1210" s="2864"/>
      <c r="L1210" s="2864"/>
      <c r="M1210" s="2864"/>
      <c r="N1210" s="2864"/>
      <c r="O1210" s="2864"/>
      <c r="P1210" s="2864"/>
      <c r="Q1210" s="2864"/>
    </row>
    <row r="1211" spans="1:17" s="2879" customFormat="1" ht="15" customHeight="1">
      <c r="A1211" s="3911"/>
      <c r="B1211" s="3913"/>
      <c r="C1211" s="3925"/>
      <c r="D1211" s="3928"/>
      <c r="E1211" s="2869" t="s">
        <v>843</v>
      </c>
      <c r="F1211" s="2870">
        <f t="shared" si="137"/>
        <v>46750</v>
      </c>
      <c r="G1211" s="2870"/>
      <c r="H1211" s="2870"/>
      <c r="I1211" s="2870">
        <v>46750</v>
      </c>
      <c r="J1211" s="2871"/>
      <c r="K1211" s="2864"/>
      <c r="L1211" s="2864"/>
      <c r="M1211" s="2864"/>
      <c r="N1211" s="2864"/>
      <c r="O1211" s="2864"/>
      <c r="P1211" s="2864"/>
      <c r="Q1211" s="2864"/>
    </row>
    <row r="1212" spans="1:17" s="2879" customFormat="1" ht="15" customHeight="1">
      <c r="A1212" s="3911"/>
      <c r="B1212" s="3913"/>
      <c r="C1212" s="3925"/>
      <c r="D1212" s="3928"/>
      <c r="E1212" s="2869" t="s">
        <v>844</v>
      </c>
      <c r="F1212" s="2870">
        <f t="shared" si="137"/>
        <v>8250</v>
      </c>
      <c r="G1212" s="2870">
        <v>8250</v>
      </c>
      <c r="H1212" s="2870"/>
      <c r="I1212" s="2870"/>
      <c r="J1212" s="2871"/>
      <c r="K1212" s="2864"/>
      <c r="L1212" s="2864"/>
      <c r="M1212" s="2864"/>
      <c r="N1212" s="2864"/>
      <c r="O1212" s="2864"/>
      <c r="P1212" s="2864"/>
      <c r="Q1212" s="2864"/>
    </row>
    <row r="1213" spans="1:17" s="2879" customFormat="1" ht="15" customHeight="1">
      <c r="A1213" s="3911"/>
      <c r="B1213" s="3913"/>
      <c r="C1213" s="3925"/>
      <c r="D1213" s="3928"/>
      <c r="E1213" s="2869" t="s">
        <v>1025</v>
      </c>
      <c r="F1213" s="2870">
        <f t="shared" si="137"/>
        <v>7718</v>
      </c>
      <c r="G1213" s="2870"/>
      <c r="H1213" s="2870"/>
      <c r="I1213" s="2870">
        <v>7718</v>
      </c>
      <c r="J1213" s="2871"/>
      <c r="K1213" s="2864"/>
      <c r="L1213" s="2864"/>
      <c r="M1213" s="2864"/>
      <c r="N1213" s="2864"/>
      <c r="O1213" s="2864"/>
      <c r="P1213" s="2864"/>
      <c r="Q1213" s="2864"/>
    </row>
    <row r="1214" spans="1:17" s="2879" customFormat="1" ht="15" customHeight="1">
      <c r="A1214" s="3911"/>
      <c r="B1214" s="3913"/>
      <c r="C1214" s="3925"/>
      <c r="D1214" s="3928"/>
      <c r="E1214" s="2869" t="s">
        <v>1026</v>
      </c>
      <c r="F1214" s="2870">
        <f t="shared" si="137"/>
        <v>1362</v>
      </c>
      <c r="G1214" s="2870">
        <v>1362</v>
      </c>
      <c r="H1214" s="2870"/>
      <c r="I1214" s="2870"/>
      <c r="J1214" s="2871"/>
      <c r="K1214" s="2864"/>
      <c r="L1214" s="2864"/>
      <c r="M1214" s="2864"/>
      <c r="N1214" s="2864"/>
      <c r="O1214" s="2864"/>
      <c r="P1214" s="2864"/>
      <c r="Q1214" s="2864"/>
    </row>
    <row r="1215" spans="1:17" s="2879" customFormat="1" ht="15" customHeight="1">
      <c r="A1215" s="3911"/>
      <c r="B1215" s="3913"/>
      <c r="C1215" s="3925"/>
      <c r="D1215" s="3928"/>
      <c r="E1215" s="2869" t="s">
        <v>845</v>
      </c>
      <c r="F1215" s="2870">
        <f t="shared" si="137"/>
        <v>340425</v>
      </c>
      <c r="G1215" s="2870"/>
      <c r="H1215" s="2870"/>
      <c r="I1215" s="2870">
        <v>340425</v>
      </c>
      <c r="J1215" s="2871"/>
      <c r="K1215" s="2864"/>
      <c r="L1215" s="2864"/>
      <c r="M1215" s="2864"/>
      <c r="N1215" s="2864"/>
      <c r="O1215" s="2864"/>
      <c r="P1215" s="2864"/>
      <c r="Q1215" s="2864"/>
    </row>
    <row r="1216" spans="1:17" s="2879" customFormat="1" ht="15" customHeight="1">
      <c r="A1216" s="3911"/>
      <c r="B1216" s="3913"/>
      <c r="C1216" s="3925"/>
      <c r="D1216" s="3928"/>
      <c r="E1216" s="2869" t="s">
        <v>846</v>
      </c>
      <c r="F1216" s="2870">
        <f t="shared" si="137"/>
        <v>60075</v>
      </c>
      <c r="G1216" s="2870">
        <v>60075</v>
      </c>
      <c r="H1216" s="2870"/>
      <c r="I1216" s="2870"/>
      <c r="J1216" s="2871"/>
      <c r="K1216" s="2864"/>
      <c r="L1216" s="2864"/>
      <c r="M1216" s="2864"/>
      <c r="N1216" s="2864"/>
      <c r="O1216" s="2864"/>
      <c r="P1216" s="2864"/>
      <c r="Q1216" s="2864"/>
    </row>
    <row r="1217" spans="1:17" s="2879" customFormat="1" ht="15" customHeight="1">
      <c r="A1217" s="3911"/>
      <c r="B1217" s="3913"/>
      <c r="C1217" s="3925"/>
      <c r="D1217" s="3928"/>
      <c r="E1217" s="2869" t="s">
        <v>1027</v>
      </c>
      <c r="F1217" s="2870">
        <f t="shared" si="137"/>
        <v>29750</v>
      </c>
      <c r="G1217" s="2870"/>
      <c r="H1217" s="2870"/>
      <c r="I1217" s="2870">
        <v>29750</v>
      </c>
      <c r="J1217" s="2871"/>
      <c r="K1217" s="2864"/>
      <c r="L1217" s="2864"/>
      <c r="M1217" s="2864"/>
      <c r="N1217" s="2864"/>
      <c r="O1217" s="2864"/>
      <c r="P1217" s="2864"/>
      <c r="Q1217" s="2864"/>
    </row>
    <row r="1218" spans="1:17" s="2879" customFormat="1" ht="15" customHeight="1">
      <c r="A1218" s="3911"/>
      <c r="B1218" s="3913"/>
      <c r="C1218" s="3925"/>
      <c r="D1218" s="3928"/>
      <c r="E1218" s="2869" t="s">
        <v>1053</v>
      </c>
      <c r="F1218" s="2870">
        <f t="shared" si="137"/>
        <v>5250</v>
      </c>
      <c r="G1218" s="2870">
        <v>5250</v>
      </c>
      <c r="H1218" s="2870"/>
      <c r="I1218" s="2870"/>
      <c r="J1218" s="2871"/>
      <c r="K1218" s="2864"/>
      <c r="L1218" s="2864"/>
      <c r="M1218" s="2864"/>
      <c r="N1218" s="2864"/>
      <c r="O1218" s="2864"/>
      <c r="P1218" s="2864"/>
      <c r="Q1218" s="2864"/>
    </row>
    <row r="1219" spans="1:17" s="2879" customFormat="1" ht="15" customHeight="1">
      <c r="A1219" s="3911"/>
      <c r="B1219" s="3913"/>
      <c r="C1219" s="3925"/>
      <c r="D1219" s="3928"/>
      <c r="E1219" s="2869" t="s">
        <v>952</v>
      </c>
      <c r="F1219" s="2870">
        <f t="shared" si="137"/>
        <v>595</v>
      </c>
      <c r="G1219" s="2870"/>
      <c r="H1219" s="2870"/>
      <c r="I1219" s="2870">
        <v>595</v>
      </c>
      <c r="J1219" s="2871"/>
      <c r="K1219" s="2864"/>
      <c r="L1219" s="2864"/>
      <c r="M1219" s="2864"/>
      <c r="N1219" s="2864"/>
      <c r="O1219" s="2864"/>
      <c r="P1219" s="2864"/>
      <c r="Q1219" s="2864"/>
    </row>
    <row r="1220" spans="1:17" s="2879" customFormat="1" ht="15" customHeight="1">
      <c r="A1220" s="3911"/>
      <c r="B1220" s="3913"/>
      <c r="C1220" s="3925"/>
      <c r="D1220" s="3928"/>
      <c r="E1220" s="2869" t="s">
        <v>953</v>
      </c>
      <c r="F1220" s="2870">
        <f t="shared" si="137"/>
        <v>105</v>
      </c>
      <c r="G1220" s="2870">
        <v>105</v>
      </c>
      <c r="H1220" s="2870"/>
      <c r="I1220" s="2870"/>
      <c r="J1220" s="2871"/>
      <c r="K1220" s="2864"/>
      <c r="L1220" s="2864"/>
      <c r="M1220" s="2864"/>
      <c r="N1220" s="2864"/>
      <c r="O1220" s="2864"/>
      <c r="P1220" s="2864"/>
      <c r="Q1220" s="2864"/>
    </row>
    <row r="1221" spans="1:17" s="2879" customFormat="1" ht="15" hidden="1" customHeight="1">
      <c r="A1221" s="3911"/>
      <c r="B1221" s="3913"/>
      <c r="C1221" s="3925"/>
      <c r="D1221" s="3928"/>
      <c r="E1221" s="2869" t="s">
        <v>1029</v>
      </c>
      <c r="F1221" s="2870">
        <f t="shared" si="137"/>
        <v>0</v>
      </c>
      <c r="G1221" s="2870"/>
      <c r="H1221" s="2870"/>
      <c r="I1221" s="2870"/>
      <c r="J1221" s="2871"/>
      <c r="K1221" s="2864"/>
      <c r="L1221" s="2864"/>
      <c r="M1221" s="2864"/>
      <c r="N1221" s="2864"/>
      <c r="O1221" s="2864"/>
      <c r="P1221" s="2864"/>
      <c r="Q1221" s="2864"/>
    </row>
    <row r="1222" spans="1:17" s="2879" customFormat="1" ht="15" hidden="1" customHeight="1">
      <c r="A1222" s="3911"/>
      <c r="B1222" s="3913"/>
      <c r="C1222" s="3925"/>
      <c r="D1222" s="3928"/>
      <c r="E1222" s="2869" t="s">
        <v>1030</v>
      </c>
      <c r="F1222" s="2870">
        <f t="shared" si="137"/>
        <v>0</v>
      </c>
      <c r="G1222" s="2870"/>
      <c r="H1222" s="2870"/>
      <c r="I1222" s="2870"/>
      <c r="J1222" s="2871"/>
      <c r="K1222" s="2864"/>
      <c r="L1222" s="2864"/>
      <c r="M1222" s="2864"/>
      <c r="N1222" s="2864"/>
      <c r="O1222" s="2864"/>
      <c r="P1222" s="2864"/>
      <c r="Q1222" s="2864"/>
    </row>
    <row r="1223" spans="1:17" s="2879" customFormat="1" ht="15" customHeight="1">
      <c r="A1223" s="3911"/>
      <c r="B1223" s="3913"/>
      <c r="C1223" s="3925"/>
      <c r="D1223" s="3928"/>
      <c r="E1223" s="2869" t="s">
        <v>849</v>
      </c>
      <c r="F1223" s="2870">
        <f t="shared" si="137"/>
        <v>32300</v>
      </c>
      <c r="G1223" s="2870"/>
      <c r="H1223" s="2870"/>
      <c r="I1223" s="2870">
        <v>32300</v>
      </c>
      <c r="J1223" s="2871"/>
      <c r="K1223" s="2864"/>
      <c r="L1223" s="2864"/>
      <c r="M1223" s="2864"/>
      <c r="N1223" s="2864"/>
      <c r="O1223" s="2864"/>
      <c r="P1223" s="2864"/>
      <c r="Q1223" s="2864"/>
    </row>
    <row r="1224" spans="1:17" s="2879" customFormat="1" ht="15" customHeight="1">
      <c r="A1224" s="3911"/>
      <c r="B1224" s="3913"/>
      <c r="C1224" s="3925"/>
      <c r="D1224" s="3928"/>
      <c r="E1224" s="2869" t="s">
        <v>850</v>
      </c>
      <c r="F1224" s="2870">
        <f t="shared" si="137"/>
        <v>5700</v>
      </c>
      <c r="G1224" s="2870">
        <v>5700</v>
      </c>
      <c r="H1224" s="2870"/>
      <c r="I1224" s="2870"/>
      <c r="J1224" s="2871"/>
      <c r="K1224" s="2864"/>
      <c r="L1224" s="2864"/>
      <c r="M1224" s="2864"/>
      <c r="N1224" s="2864"/>
      <c r="O1224" s="2864"/>
      <c r="P1224" s="2864"/>
      <c r="Q1224" s="2864"/>
    </row>
    <row r="1225" spans="1:17" s="2879" customFormat="1" ht="15" hidden="1" customHeight="1">
      <c r="A1225" s="3911"/>
      <c r="B1225" s="3913"/>
      <c r="C1225" s="3925"/>
      <c r="D1225" s="3928"/>
      <c r="E1225" s="2869" t="s">
        <v>1031</v>
      </c>
      <c r="F1225" s="2870">
        <f t="shared" si="137"/>
        <v>0</v>
      </c>
      <c r="G1225" s="2870"/>
      <c r="H1225" s="2870"/>
      <c r="I1225" s="2870"/>
      <c r="J1225" s="2871"/>
      <c r="K1225" s="2864"/>
      <c r="L1225" s="2864"/>
      <c r="M1225" s="2864"/>
      <c r="N1225" s="2864"/>
      <c r="O1225" s="2864"/>
      <c r="P1225" s="2864"/>
      <c r="Q1225" s="2864"/>
    </row>
    <row r="1226" spans="1:17" s="2879" customFormat="1" ht="15" hidden="1" customHeight="1">
      <c r="A1226" s="3911"/>
      <c r="B1226" s="3913"/>
      <c r="C1226" s="3925"/>
      <c r="D1226" s="3928"/>
      <c r="E1226" s="2869" t="s">
        <v>1032</v>
      </c>
      <c r="F1226" s="2870">
        <f t="shared" si="137"/>
        <v>0</v>
      </c>
      <c r="G1226" s="2870"/>
      <c r="H1226" s="2870"/>
      <c r="I1226" s="2870"/>
      <c r="J1226" s="2871"/>
      <c r="K1226" s="2864"/>
      <c r="L1226" s="2864"/>
      <c r="M1226" s="2864"/>
      <c r="N1226" s="2864"/>
      <c r="O1226" s="2864"/>
      <c r="P1226" s="2864"/>
      <c r="Q1226" s="2864"/>
    </row>
    <row r="1227" spans="1:17" s="2879" customFormat="1" ht="15" customHeight="1">
      <c r="A1227" s="3911"/>
      <c r="B1227" s="3913"/>
      <c r="C1227" s="3925"/>
      <c r="D1227" s="3928"/>
      <c r="E1227" s="2869" t="s">
        <v>1033</v>
      </c>
      <c r="F1227" s="2870">
        <f t="shared" si="137"/>
        <v>4250</v>
      </c>
      <c r="G1227" s="2870"/>
      <c r="H1227" s="2870"/>
      <c r="I1227" s="2870">
        <v>4250</v>
      </c>
      <c r="J1227" s="2871"/>
      <c r="K1227" s="2864"/>
      <c r="L1227" s="2864"/>
      <c r="M1227" s="2864"/>
      <c r="N1227" s="2864"/>
      <c r="O1227" s="2864"/>
      <c r="P1227" s="2864"/>
      <c r="Q1227" s="2864"/>
    </row>
    <row r="1228" spans="1:17" s="2879" customFormat="1" ht="15" customHeight="1">
      <c r="A1228" s="3911"/>
      <c r="B1228" s="3913"/>
      <c r="C1228" s="3925"/>
      <c r="D1228" s="3928"/>
      <c r="E1228" s="2869" t="s">
        <v>1034</v>
      </c>
      <c r="F1228" s="2870">
        <f t="shared" si="137"/>
        <v>750</v>
      </c>
      <c r="G1228" s="2870">
        <v>750</v>
      </c>
      <c r="H1228" s="2870"/>
      <c r="I1228" s="2870"/>
      <c r="J1228" s="2871"/>
      <c r="K1228" s="2864"/>
      <c r="L1228" s="2864"/>
      <c r="M1228" s="2864"/>
      <c r="N1228" s="2864"/>
      <c r="O1228" s="2864"/>
      <c r="P1228" s="2864"/>
      <c r="Q1228" s="2864"/>
    </row>
    <row r="1229" spans="1:17" s="2879" customFormat="1" ht="15" customHeight="1">
      <c r="A1229" s="3911"/>
      <c r="B1229" s="3913"/>
      <c r="C1229" s="3925"/>
      <c r="D1229" s="3928"/>
      <c r="E1229" s="2869" t="s">
        <v>853</v>
      </c>
      <c r="F1229" s="2870">
        <f t="shared" si="137"/>
        <v>133450</v>
      </c>
      <c r="G1229" s="2870"/>
      <c r="H1229" s="2870"/>
      <c r="I1229" s="2870">
        <v>133450</v>
      </c>
      <c r="J1229" s="2871"/>
      <c r="K1229" s="2864"/>
      <c r="L1229" s="2864"/>
      <c r="M1229" s="2864"/>
      <c r="N1229" s="2864"/>
      <c r="O1229" s="2864"/>
      <c r="P1229" s="2864"/>
      <c r="Q1229" s="2864"/>
    </row>
    <row r="1230" spans="1:17" s="2879" customFormat="1" ht="15" customHeight="1">
      <c r="A1230" s="3911"/>
      <c r="B1230" s="3913"/>
      <c r="C1230" s="3925"/>
      <c r="D1230" s="3928"/>
      <c r="E1230" s="2869" t="s">
        <v>854</v>
      </c>
      <c r="F1230" s="2870">
        <f t="shared" si="137"/>
        <v>23550</v>
      </c>
      <c r="G1230" s="2870">
        <v>23550</v>
      </c>
      <c r="H1230" s="2870"/>
      <c r="I1230" s="2870"/>
      <c r="J1230" s="2871"/>
      <c r="K1230" s="2864"/>
      <c r="L1230" s="2864"/>
      <c r="M1230" s="2864"/>
      <c r="N1230" s="2864"/>
      <c r="O1230" s="2864"/>
      <c r="P1230" s="2864"/>
      <c r="Q1230" s="2864"/>
    </row>
    <row r="1231" spans="1:17" s="2879" customFormat="1" ht="15" customHeight="1">
      <c r="A1231" s="3920"/>
      <c r="B1231" s="3937"/>
      <c r="C1231" s="3926"/>
      <c r="D1231" s="3929"/>
      <c r="E1231" s="2872" t="s">
        <v>1305</v>
      </c>
      <c r="F1231" s="2867">
        <f>SUM(F1232:F1233)</f>
        <v>0</v>
      </c>
      <c r="G1231" s="2867">
        <f>SUM(G1232:G1233)</f>
        <v>0</v>
      </c>
      <c r="H1231" s="2867">
        <f>SUM(H1232:H1233)</f>
        <v>0</v>
      </c>
      <c r="I1231" s="2867">
        <f>SUM(I1232:I1233)</f>
        <v>0</v>
      </c>
      <c r="J1231" s="2868">
        <f>SUM(J1232:J1233)</f>
        <v>0</v>
      </c>
      <c r="K1231" s="2864"/>
      <c r="L1231" s="2864"/>
      <c r="M1231" s="2864"/>
      <c r="N1231" s="2864"/>
      <c r="O1231" s="2864"/>
      <c r="P1231" s="2864"/>
      <c r="Q1231" s="2864"/>
    </row>
    <row r="1232" spans="1:17" s="2864" customFormat="1" ht="15" hidden="1" customHeight="1">
      <c r="A1232" s="2891"/>
      <c r="B1232" s="2910"/>
      <c r="C1232" s="2893"/>
      <c r="D1232" s="2894"/>
      <c r="E1232" s="2895" t="s">
        <v>933</v>
      </c>
      <c r="F1232" s="2896">
        <f t="shared" ref="F1232" si="138">SUM(G1232:J1232)</f>
        <v>0</v>
      </c>
      <c r="G1232" s="2896"/>
      <c r="H1232" s="2896"/>
      <c r="I1232" s="2896"/>
      <c r="J1232" s="2897"/>
    </row>
    <row r="1233" spans="1:17" s="2864" customFormat="1" ht="15" hidden="1" customHeight="1">
      <c r="A1233" s="2891"/>
      <c r="B1233" s="2910"/>
      <c r="C1233" s="2893"/>
      <c r="D1233" s="2894"/>
      <c r="E1233" s="2916">
        <v>6069</v>
      </c>
      <c r="F1233" s="2896">
        <f>SUM(G1233:J1233)</f>
        <v>0</v>
      </c>
      <c r="G1233" s="2896"/>
      <c r="H1233" s="2896"/>
      <c r="I1233" s="2896"/>
      <c r="J1233" s="2897"/>
    </row>
    <row r="1234" spans="1:17" s="2879" customFormat="1" ht="15" hidden="1" customHeight="1">
      <c r="A1234" s="3940" t="s">
        <v>1315</v>
      </c>
      <c r="B1234" s="3943" t="s">
        <v>1411</v>
      </c>
      <c r="C1234" s="3946">
        <v>853</v>
      </c>
      <c r="D1234" s="3949" t="s">
        <v>50</v>
      </c>
      <c r="E1234" s="2898" t="s">
        <v>1304</v>
      </c>
      <c r="F1234" s="2899">
        <f>SUM(F1235,F1245)</f>
        <v>0</v>
      </c>
      <c r="G1234" s="2899">
        <f>SUM(G1235,G1245)</f>
        <v>0</v>
      </c>
      <c r="H1234" s="2899">
        <f>SUM(H1235,H1245)</f>
        <v>0</v>
      </c>
      <c r="I1234" s="2899">
        <f>SUM(I1235,I1245)</f>
        <v>0</v>
      </c>
      <c r="J1234" s="2900">
        <f>SUM(J1235,J1245)</f>
        <v>0</v>
      </c>
      <c r="K1234" s="2864"/>
      <c r="L1234" s="2864"/>
      <c r="M1234" s="2864"/>
      <c r="N1234" s="2864"/>
      <c r="O1234" s="2864"/>
      <c r="P1234" s="2864"/>
      <c r="Q1234" s="2864"/>
    </row>
    <row r="1235" spans="1:17" s="2879" customFormat="1" ht="15" hidden="1" customHeight="1">
      <c r="A1235" s="3941"/>
      <c r="B1235" s="3944"/>
      <c r="C1235" s="3947"/>
      <c r="D1235" s="3950"/>
      <c r="E1235" s="2901" t="s">
        <v>1310</v>
      </c>
      <c r="F1235" s="2902">
        <f>SUM(F1236,F1239,F1242)</f>
        <v>0</v>
      </c>
      <c r="G1235" s="2902">
        <f>SUM(G1236,G1239,G1242)</f>
        <v>0</v>
      </c>
      <c r="H1235" s="2902">
        <f>SUM(H1236,H1239,H1242)</f>
        <v>0</v>
      </c>
      <c r="I1235" s="2902">
        <f>SUM(I1236,I1239,I1242)</f>
        <v>0</v>
      </c>
      <c r="J1235" s="2903">
        <f>SUM(J1236,J1239,J1242)</f>
        <v>0</v>
      </c>
      <c r="K1235" s="2865"/>
      <c r="L1235" s="2865"/>
      <c r="M1235" s="2865"/>
      <c r="N1235" s="2865"/>
      <c r="O1235" s="2865"/>
      <c r="P1235" s="2865"/>
      <c r="Q1235" s="2864"/>
    </row>
    <row r="1236" spans="1:17" s="2879" customFormat="1" ht="15" hidden="1" customHeight="1">
      <c r="A1236" s="3941"/>
      <c r="B1236" s="3944"/>
      <c r="C1236" s="3947"/>
      <c r="D1236" s="3950"/>
      <c r="E1236" s="2904" t="s">
        <v>1324</v>
      </c>
      <c r="F1236" s="2905">
        <f>SUM(F1237:F1238)</f>
        <v>0</v>
      </c>
      <c r="G1236" s="2905">
        <f>SUM(G1237:G1238)</f>
        <v>0</v>
      </c>
      <c r="H1236" s="2905">
        <f>SUM(H1237:H1238)</f>
        <v>0</v>
      </c>
      <c r="I1236" s="2905">
        <f>SUM(I1237:I1238)</f>
        <v>0</v>
      </c>
      <c r="J1236" s="2906">
        <f>SUM(J1237:J1238)</f>
        <v>0</v>
      </c>
      <c r="K1236" s="2864"/>
      <c r="L1236" s="2864"/>
      <c r="M1236" s="2864"/>
      <c r="N1236" s="2864"/>
      <c r="O1236" s="2864"/>
      <c r="P1236" s="2864"/>
      <c r="Q1236" s="2864"/>
    </row>
    <row r="1237" spans="1:17" s="2879" customFormat="1" ht="15" hidden="1" customHeight="1">
      <c r="A1237" s="3941"/>
      <c r="B1237" s="3944"/>
      <c r="C1237" s="3947"/>
      <c r="D1237" s="3950"/>
      <c r="E1237" s="2895"/>
      <c r="F1237" s="2896">
        <f>SUM(G1237:J1237)</f>
        <v>0</v>
      </c>
      <c r="G1237" s="2896"/>
      <c r="H1237" s="2896"/>
      <c r="I1237" s="2896"/>
      <c r="J1237" s="2897"/>
      <c r="K1237" s="2864"/>
      <c r="L1237" s="2864"/>
      <c r="M1237" s="2864"/>
      <c r="N1237" s="2864"/>
      <c r="O1237" s="2864"/>
      <c r="P1237" s="2864"/>
      <c r="Q1237" s="2864"/>
    </row>
    <row r="1238" spans="1:17" s="2879" customFormat="1" ht="15" hidden="1" customHeight="1">
      <c r="A1238" s="3941"/>
      <c r="B1238" s="3944"/>
      <c r="C1238" s="3947"/>
      <c r="D1238" s="3950"/>
      <c r="E1238" s="2895"/>
      <c r="F1238" s="2896">
        <f>SUM(G1238:J1238)</f>
        <v>0</v>
      </c>
      <c r="G1238" s="2896"/>
      <c r="H1238" s="2896"/>
      <c r="I1238" s="2896"/>
      <c r="J1238" s="2897"/>
      <c r="K1238" s="2864"/>
      <c r="L1238" s="2864"/>
      <c r="M1238" s="2864"/>
      <c r="N1238" s="2864"/>
      <c r="O1238" s="2864"/>
      <c r="P1238" s="2864"/>
      <c r="Q1238" s="2864"/>
    </row>
    <row r="1239" spans="1:17" s="2879" customFormat="1" ht="15" hidden="1" customHeight="1">
      <c r="A1239" s="3941"/>
      <c r="B1239" s="3944"/>
      <c r="C1239" s="3947"/>
      <c r="D1239" s="3950"/>
      <c r="E1239" s="2904" t="s">
        <v>1311</v>
      </c>
      <c r="F1239" s="2905">
        <f>SUM(F1240:F1241)</f>
        <v>0</v>
      </c>
      <c r="G1239" s="2905">
        <f>SUM(G1240:G1241)</f>
        <v>0</v>
      </c>
      <c r="H1239" s="2905">
        <f>SUM(H1240:H1241)</f>
        <v>0</v>
      </c>
      <c r="I1239" s="2905">
        <f>SUM(I1240:I1241)</f>
        <v>0</v>
      </c>
      <c r="J1239" s="2906">
        <f>SUM(J1240:J1241)</f>
        <v>0</v>
      </c>
      <c r="K1239" s="2865"/>
      <c r="L1239" s="2865"/>
      <c r="M1239" s="2865"/>
      <c r="N1239" s="2865"/>
      <c r="O1239" s="2865"/>
      <c r="P1239" s="2865"/>
      <c r="Q1239" s="2864"/>
    </row>
    <row r="1240" spans="1:17" s="2879" customFormat="1" ht="15" hidden="1" customHeight="1">
      <c r="A1240" s="3941"/>
      <c r="B1240" s="3944"/>
      <c r="C1240" s="3947"/>
      <c r="D1240" s="3950"/>
      <c r="E1240" s="2895"/>
      <c r="F1240" s="2896">
        <f t="shared" ref="F1240:F1241" si="139">SUM(G1240:J1240)</f>
        <v>0</v>
      </c>
      <c r="G1240" s="2896"/>
      <c r="H1240" s="2896"/>
      <c r="I1240" s="2896"/>
      <c r="J1240" s="2897"/>
      <c r="K1240" s="2914"/>
      <c r="L1240" s="2914"/>
      <c r="M1240" s="2914"/>
      <c r="N1240" s="2914"/>
      <c r="O1240" s="2914"/>
      <c r="P1240" s="2865"/>
      <c r="Q1240" s="2864"/>
    </row>
    <row r="1241" spans="1:17" s="2879" customFormat="1" ht="15" hidden="1" customHeight="1">
      <c r="A1241" s="3941"/>
      <c r="B1241" s="3944"/>
      <c r="C1241" s="3947"/>
      <c r="D1241" s="3950"/>
      <c r="E1241" s="2895"/>
      <c r="F1241" s="2896">
        <f t="shared" si="139"/>
        <v>0</v>
      </c>
      <c r="G1241" s="2896"/>
      <c r="H1241" s="2896"/>
      <c r="I1241" s="2896"/>
      <c r="J1241" s="2897"/>
      <c r="K1241" s="2864"/>
      <c r="L1241" s="2864"/>
      <c r="M1241" s="2864"/>
      <c r="N1241" s="2864"/>
      <c r="O1241" s="2864"/>
      <c r="P1241" s="2864"/>
      <c r="Q1241" s="2864"/>
    </row>
    <row r="1242" spans="1:17" s="2879" customFormat="1" ht="15" hidden="1" customHeight="1">
      <c r="A1242" s="3941"/>
      <c r="B1242" s="3944"/>
      <c r="C1242" s="3947"/>
      <c r="D1242" s="3950"/>
      <c r="E1242" s="2904" t="s">
        <v>1312</v>
      </c>
      <c r="F1242" s="2905">
        <f>SUM(F1243:F1244)</f>
        <v>0</v>
      </c>
      <c r="G1242" s="2905">
        <f>SUM(G1243:G1244)</f>
        <v>0</v>
      </c>
      <c r="H1242" s="2905">
        <f>SUM(H1243:H1244)</f>
        <v>0</v>
      </c>
      <c r="I1242" s="2905">
        <f>SUM(I1243:I1244)</f>
        <v>0</v>
      </c>
      <c r="J1242" s="2906">
        <f>SUM(J1243:J1244)</f>
        <v>0</v>
      </c>
      <c r="K1242" s="2864"/>
      <c r="L1242" s="2864"/>
      <c r="M1242" s="2864"/>
      <c r="N1242" s="2864"/>
      <c r="O1242" s="2864"/>
      <c r="P1242" s="2864"/>
      <c r="Q1242" s="2864"/>
    </row>
    <row r="1243" spans="1:17" s="2879" customFormat="1" ht="15" hidden="1" customHeight="1">
      <c r="A1243" s="3941"/>
      <c r="B1243" s="3944"/>
      <c r="C1243" s="3947"/>
      <c r="D1243" s="3950"/>
      <c r="E1243" s="2895" t="s">
        <v>1048</v>
      </c>
      <c r="F1243" s="2896">
        <f t="shared" ref="F1243:F1244" si="140">SUM(G1243:J1243)</f>
        <v>0</v>
      </c>
      <c r="G1243" s="2896"/>
      <c r="H1243" s="2896"/>
      <c r="I1243" s="2896"/>
      <c r="J1243" s="2897"/>
      <c r="K1243" s="2864"/>
      <c r="L1243" s="2864"/>
      <c r="M1243" s="2864"/>
      <c r="N1243" s="2864"/>
      <c r="O1243" s="2864"/>
      <c r="P1243" s="2864"/>
      <c r="Q1243" s="2864"/>
    </row>
    <row r="1244" spans="1:17" s="2879" customFormat="1" ht="15" hidden="1" customHeight="1">
      <c r="A1244" s="3941"/>
      <c r="B1244" s="3944"/>
      <c r="C1244" s="3947"/>
      <c r="D1244" s="3950"/>
      <c r="E1244" s="2895"/>
      <c r="F1244" s="2896">
        <f t="shared" si="140"/>
        <v>0</v>
      </c>
      <c r="G1244" s="2896"/>
      <c r="H1244" s="2896"/>
      <c r="I1244" s="2896"/>
      <c r="J1244" s="2897"/>
      <c r="K1244" s="2864"/>
      <c r="L1244" s="2864"/>
      <c r="M1244" s="2864"/>
      <c r="N1244" s="2864"/>
      <c r="O1244" s="2864"/>
      <c r="P1244" s="2864"/>
      <c r="Q1244" s="2864"/>
    </row>
    <row r="1245" spans="1:17" s="2879" customFormat="1" ht="15" hidden="1" customHeight="1">
      <c r="A1245" s="3942"/>
      <c r="B1245" s="3945"/>
      <c r="C1245" s="3948"/>
      <c r="D1245" s="3951"/>
      <c r="E1245" s="2907" t="s">
        <v>1305</v>
      </c>
      <c r="F1245" s="2902">
        <f>SUM(F1246:F1247)</f>
        <v>0</v>
      </c>
      <c r="G1245" s="2902">
        <f>SUM(G1246:G1247)</f>
        <v>0</v>
      </c>
      <c r="H1245" s="2902">
        <f>SUM(H1246:H1247)</f>
        <v>0</v>
      </c>
      <c r="I1245" s="2902">
        <f>SUM(I1246:I1247)</f>
        <v>0</v>
      </c>
      <c r="J1245" s="2903">
        <f>SUM(J1246:J1247)</f>
        <v>0</v>
      </c>
      <c r="K1245" s="2864"/>
      <c r="L1245" s="2864"/>
      <c r="M1245" s="2864"/>
      <c r="N1245" s="2864"/>
      <c r="O1245" s="2864"/>
      <c r="P1245" s="2864"/>
      <c r="Q1245" s="2864"/>
    </row>
    <row r="1246" spans="1:17" s="2864" customFormat="1" ht="15" hidden="1" customHeight="1">
      <c r="A1246" s="2891"/>
      <c r="B1246" s="2910"/>
      <c r="C1246" s="2893"/>
      <c r="D1246" s="2894"/>
      <c r="E1246" s="2895" t="s">
        <v>933</v>
      </c>
      <c r="F1246" s="2896">
        <f t="shared" ref="F1246" si="141">SUM(G1246:J1246)</f>
        <v>0</v>
      </c>
      <c r="G1246" s="2896"/>
      <c r="H1246" s="2896"/>
      <c r="I1246" s="2896"/>
      <c r="J1246" s="2897"/>
    </row>
    <row r="1247" spans="1:17" s="2864" customFormat="1" ht="15" hidden="1" customHeight="1">
      <c r="A1247" s="2891"/>
      <c r="B1247" s="2910"/>
      <c r="C1247" s="2893"/>
      <c r="D1247" s="2894"/>
      <c r="E1247" s="2916">
        <v>6069</v>
      </c>
      <c r="F1247" s="2896">
        <f>SUM(G1247:J1247)</f>
        <v>0</v>
      </c>
      <c r="G1247" s="2896"/>
      <c r="H1247" s="2896"/>
      <c r="I1247" s="2896"/>
      <c r="J1247" s="2897"/>
    </row>
    <row r="1248" spans="1:17" s="2864" customFormat="1" ht="22.5">
      <c r="A1248" s="3934" t="s">
        <v>1315</v>
      </c>
      <c r="B1248" s="3935" t="s">
        <v>1406</v>
      </c>
      <c r="C1248" s="3939" t="s">
        <v>40</v>
      </c>
      <c r="D1248" s="3939" t="s">
        <v>1043</v>
      </c>
      <c r="E1248" s="2861" t="s">
        <v>1304</v>
      </c>
      <c r="F1248" s="2862">
        <f>SUM(F1249,F1266)</f>
        <v>5750</v>
      </c>
      <c r="G1248" s="2862">
        <f>SUM(G1249,G1266)</f>
        <v>576</v>
      </c>
      <c r="H1248" s="2862">
        <f>SUM(H1249,H1266)</f>
        <v>4397</v>
      </c>
      <c r="I1248" s="2862">
        <f>SUM(I1249,I1266)</f>
        <v>777</v>
      </c>
      <c r="J1248" s="2863">
        <f>SUM(J1249,J1266)</f>
        <v>0</v>
      </c>
    </row>
    <row r="1249" spans="1:12" s="2864" customFormat="1" ht="21">
      <c r="A1249" s="3934"/>
      <c r="B1249" s="3935"/>
      <c r="C1249" s="3939"/>
      <c r="D1249" s="3939"/>
      <c r="E1249" s="2866" t="s">
        <v>1310</v>
      </c>
      <c r="F1249" s="2867">
        <f>SUM(F1250,F1253,F1262)</f>
        <v>5750</v>
      </c>
      <c r="G1249" s="2867">
        <f>SUM(G1250,G1253,G1262)</f>
        <v>576</v>
      </c>
      <c r="H1249" s="2867">
        <f>SUM(H1250,H1253,H1262)</f>
        <v>4397</v>
      </c>
      <c r="I1249" s="2867">
        <f>SUM(I1250,I1253,I1262)</f>
        <v>777</v>
      </c>
      <c r="J1249" s="2868">
        <f>SUM(J1250,J1253,J1262)</f>
        <v>0</v>
      </c>
    </row>
    <row r="1250" spans="1:12" s="2864" customFormat="1" ht="22.5" hidden="1">
      <c r="A1250" s="3934"/>
      <c r="B1250" s="3935"/>
      <c r="C1250" s="3939"/>
      <c r="D1250" s="3939"/>
      <c r="E1250" s="2880" t="s">
        <v>1377</v>
      </c>
      <c r="F1250" s="2881">
        <f>SUM(F1251:F1252)</f>
        <v>0</v>
      </c>
      <c r="G1250" s="2881">
        <f t="shared" ref="G1250:J1250" si="142">SUM(G1251:G1252)</f>
        <v>0</v>
      </c>
      <c r="H1250" s="2881">
        <f t="shared" si="142"/>
        <v>0</v>
      </c>
      <c r="I1250" s="2881">
        <f t="shared" si="142"/>
        <v>0</v>
      </c>
      <c r="J1250" s="2882">
        <f t="shared" si="142"/>
        <v>0</v>
      </c>
    </row>
    <row r="1251" spans="1:12" s="2864" customFormat="1" ht="15" hidden="1" customHeight="1">
      <c r="A1251" s="3934"/>
      <c r="B1251" s="3935"/>
      <c r="C1251" s="3939"/>
      <c r="D1251" s="3939"/>
      <c r="E1251" s="2869" t="s">
        <v>484</v>
      </c>
      <c r="F1251" s="2870">
        <f t="shared" ref="F1251:F1252" si="143">SUM(G1251:J1251)</f>
        <v>0</v>
      </c>
      <c r="G1251" s="2870"/>
      <c r="H1251" s="2870"/>
      <c r="I1251" s="2870"/>
      <c r="J1251" s="2871"/>
    </row>
    <row r="1252" spans="1:12" s="2864" customFormat="1" ht="15" hidden="1" customHeight="1">
      <c r="A1252" s="3934"/>
      <c r="B1252" s="3935"/>
      <c r="C1252" s="3939"/>
      <c r="D1252" s="3939"/>
      <c r="E1252" s="2869" t="s">
        <v>649</v>
      </c>
      <c r="F1252" s="2870">
        <f t="shared" si="143"/>
        <v>0</v>
      </c>
      <c r="G1252" s="2870"/>
      <c r="H1252" s="2870"/>
      <c r="I1252" s="2870"/>
      <c r="J1252" s="2871"/>
    </row>
    <row r="1253" spans="1:12" s="2864" customFormat="1" ht="22.5">
      <c r="A1253" s="3934"/>
      <c r="B1253" s="3935"/>
      <c r="C1253" s="3939"/>
      <c r="D1253" s="3939"/>
      <c r="E1253" s="2880" t="s">
        <v>1311</v>
      </c>
      <c r="F1253" s="2881">
        <f>SUM(F1254:F1261)</f>
        <v>5750</v>
      </c>
      <c r="G1253" s="2881">
        <f t="shared" ref="G1253:J1253" si="144">SUM(G1254:G1261)</f>
        <v>576</v>
      </c>
      <c r="H1253" s="2881">
        <f t="shared" si="144"/>
        <v>4397</v>
      </c>
      <c r="I1253" s="2881">
        <f t="shared" si="144"/>
        <v>777</v>
      </c>
      <c r="J1253" s="2882">
        <f t="shared" si="144"/>
        <v>0</v>
      </c>
    </row>
    <row r="1254" spans="1:12" s="2864" customFormat="1" ht="15" customHeight="1">
      <c r="A1254" s="3934"/>
      <c r="B1254" s="3935"/>
      <c r="C1254" s="3939"/>
      <c r="D1254" s="3939"/>
      <c r="E1254" s="2869" t="s">
        <v>828</v>
      </c>
      <c r="F1254" s="2870">
        <f t="shared" ref="F1254:F1261" si="145">SUM(G1254:J1254)</f>
        <v>3662</v>
      </c>
      <c r="G1254" s="2870"/>
      <c r="H1254" s="2870">
        <v>3662</v>
      </c>
      <c r="I1254" s="2870"/>
      <c r="J1254" s="2871"/>
    </row>
    <row r="1255" spans="1:12" s="2864" customFormat="1" ht="15" customHeight="1">
      <c r="A1255" s="3934"/>
      <c r="B1255" s="3935"/>
      <c r="C1255" s="3939"/>
      <c r="D1255" s="3939"/>
      <c r="E1255" s="2869" t="s">
        <v>829</v>
      </c>
      <c r="F1255" s="2870">
        <f t="shared" si="145"/>
        <v>1125</v>
      </c>
      <c r="G1255" s="2870">
        <v>479</v>
      </c>
      <c r="H1255" s="2870"/>
      <c r="I1255" s="2870">
        <v>646</v>
      </c>
      <c r="J1255" s="2871"/>
    </row>
    <row r="1256" spans="1:12" s="2864" customFormat="1" ht="15" customHeight="1">
      <c r="A1256" s="3934"/>
      <c r="B1256" s="3935"/>
      <c r="C1256" s="3939"/>
      <c r="D1256" s="3939"/>
      <c r="E1256" s="2869" t="s">
        <v>832</v>
      </c>
      <c r="F1256" s="2870">
        <f t="shared" si="145"/>
        <v>631</v>
      </c>
      <c r="G1256" s="2870"/>
      <c r="H1256" s="2870">
        <v>631</v>
      </c>
      <c r="I1256" s="2870"/>
      <c r="J1256" s="2871"/>
    </row>
    <row r="1257" spans="1:12" s="2864" customFormat="1" ht="15" customHeight="1">
      <c r="A1257" s="3934"/>
      <c r="B1257" s="3935"/>
      <c r="C1257" s="3939"/>
      <c r="D1257" s="3939"/>
      <c r="E1257" s="2869" t="s">
        <v>833</v>
      </c>
      <c r="F1257" s="2870">
        <f t="shared" si="145"/>
        <v>195</v>
      </c>
      <c r="G1257" s="2870">
        <v>83</v>
      </c>
      <c r="H1257" s="2870"/>
      <c r="I1257" s="2870">
        <v>112</v>
      </c>
      <c r="J1257" s="2871"/>
    </row>
    <row r="1258" spans="1:12" s="2864" customFormat="1" ht="15" customHeight="1">
      <c r="A1258" s="3934"/>
      <c r="B1258" s="3935"/>
      <c r="C1258" s="3939"/>
      <c r="D1258" s="3939"/>
      <c r="E1258" s="2869" t="s">
        <v>834</v>
      </c>
      <c r="F1258" s="2870">
        <f t="shared" si="145"/>
        <v>90</v>
      </c>
      <c r="G1258" s="2870"/>
      <c r="H1258" s="2870">
        <v>90</v>
      </c>
      <c r="I1258" s="2870"/>
      <c r="J1258" s="2871"/>
    </row>
    <row r="1259" spans="1:12" s="2864" customFormat="1" ht="15" customHeight="1">
      <c r="A1259" s="3934"/>
      <c r="B1259" s="3935"/>
      <c r="C1259" s="3939"/>
      <c r="D1259" s="3939"/>
      <c r="E1259" s="2869" t="s">
        <v>835</v>
      </c>
      <c r="F1259" s="2870">
        <f t="shared" si="145"/>
        <v>28</v>
      </c>
      <c r="G1259" s="2870">
        <v>12</v>
      </c>
      <c r="H1259" s="2870"/>
      <c r="I1259" s="2870">
        <v>16</v>
      </c>
      <c r="J1259" s="2871"/>
    </row>
    <row r="1260" spans="1:12" s="2864" customFormat="1" ht="15" customHeight="1">
      <c r="A1260" s="3934"/>
      <c r="B1260" s="3935"/>
      <c r="C1260" s="3939"/>
      <c r="D1260" s="3939"/>
      <c r="E1260" s="2869" t="s">
        <v>855</v>
      </c>
      <c r="F1260" s="2870">
        <f t="shared" si="145"/>
        <v>14</v>
      </c>
      <c r="G1260" s="2870"/>
      <c r="H1260" s="2870">
        <v>14</v>
      </c>
      <c r="I1260" s="2870"/>
      <c r="J1260" s="2871"/>
    </row>
    <row r="1261" spans="1:12" s="2864" customFormat="1" ht="15" customHeight="1">
      <c r="A1261" s="3934"/>
      <c r="B1261" s="3935"/>
      <c r="C1261" s="3939"/>
      <c r="D1261" s="3939"/>
      <c r="E1261" s="2869" t="s">
        <v>856</v>
      </c>
      <c r="F1261" s="2870">
        <f t="shared" si="145"/>
        <v>5</v>
      </c>
      <c r="G1261" s="2870">
        <v>2</v>
      </c>
      <c r="H1261" s="2870"/>
      <c r="I1261" s="2870">
        <v>3</v>
      </c>
      <c r="J1261" s="2871"/>
    </row>
    <row r="1262" spans="1:12" s="2864" customFormat="1" ht="22.5" hidden="1">
      <c r="A1262" s="3934"/>
      <c r="B1262" s="3935"/>
      <c r="C1262" s="3939"/>
      <c r="D1262" s="3939"/>
      <c r="E1262" s="2880" t="s">
        <v>1312</v>
      </c>
      <c r="F1262" s="2881">
        <f>SUM(F1263:F1265)</f>
        <v>0</v>
      </c>
      <c r="G1262" s="2881">
        <f>SUM(G1263:G1265)</f>
        <v>0</v>
      </c>
      <c r="H1262" s="2881">
        <f>SUM(H1263:H1265)</f>
        <v>0</v>
      </c>
      <c r="I1262" s="2881">
        <f>SUM(I1263:I1265)</f>
        <v>0</v>
      </c>
      <c r="J1262" s="2882">
        <f>SUM(J1263:J1265)</f>
        <v>0</v>
      </c>
      <c r="L1262" s="2941"/>
    </row>
    <row r="1263" spans="1:12" s="2864" customFormat="1" ht="15" hidden="1" customHeight="1">
      <c r="A1263" s="3934"/>
      <c r="B1263" s="3935"/>
      <c r="C1263" s="3939"/>
      <c r="D1263" s="3939"/>
      <c r="E1263" s="2869"/>
      <c r="F1263" s="2870">
        <f t="shared" ref="F1263:F1265" si="146">SUM(G1263:J1263)</f>
        <v>0</v>
      </c>
      <c r="G1263" s="2870"/>
      <c r="H1263" s="2870"/>
      <c r="I1263" s="2870"/>
      <c r="J1263" s="2871"/>
    </row>
    <row r="1264" spans="1:12" s="2864" customFormat="1" ht="15" hidden="1" customHeight="1">
      <c r="A1264" s="3934"/>
      <c r="B1264" s="3935"/>
      <c r="C1264" s="3939"/>
      <c r="D1264" s="3939"/>
      <c r="E1264" s="2869"/>
      <c r="F1264" s="2870">
        <f t="shared" si="146"/>
        <v>0</v>
      </c>
      <c r="G1264" s="2870"/>
      <c r="H1264" s="2870"/>
      <c r="I1264" s="2870"/>
      <c r="J1264" s="2871"/>
    </row>
    <row r="1265" spans="1:15" s="2864" customFormat="1" ht="15" hidden="1" customHeight="1">
      <c r="A1265" s="3934"/>
      <c r="B1265" s="3935"/>
      <c r="C1265" s="3939"/>
      <c r="D1265" s="3939"/>
      <c r="E1265" s="2869"/>
      <c r="F1265" s="2870">
        <f t="shared" si="146"/>
        <v>0</v>
      </c>
      <c r="G1265" s="2870"/>
      <c r="H1265" s="2870"/>
      <c r="I1265" s="2870"/>
      <c r="J1265" s="2871"/>
    </row>
    <row r="1266" spans="1:15" s="2864" customFormat="1" ht="15" customHeight="1">
      <c r="A1266" s="3934"/>
      <c r="B1266" s="3935"/>
      <c r="C1266" s="3939"/>
      <c r="D1266" s="3939"/>
      <c r="E1266" s="2872" t="s">
        <v>1305</v>
      </c>
      <c r="F1266" s="2867">
        <f>SUM(F1267:F1268)</f>
        <v>0</v>
      </c>
      <c r="G1266" s="2867">
        <f>SUM(G1267:G1268)</f>
        <v>0</v>
      </c>
      <c r="H1266" s="2867">
        <f>SUM(H1267:H1268)</f>
        <v>0</v>
      </c>
      <c r="I1266" s="2867">
        <f>SUM(I1267:I1268)</f>
        <v>0</v>
      </c>
      <c r="J1266" s="2868">
        <f>SUM(J1267:J1268)</f>
        <v>0</v>
      </c>
      <c r="K1266" s="2865"/>
      <c r="L1266" s="2942"/>
      <c r="M1266" s="2942"/>
      <c r="N1266" s="2865"/>
    </row>
    <row r="1267" spans="1:15" s="2864" customFormat="1" ht="15" hidden="1" customHeight="1">
      <c r="A1267" s="3934"/>
      <c r="B1267" s="3935"/>
      <c r="C1267" s="3939"/>
      <c r="D1267" s="3939"/>
      <c r="E1267" s="2869"/>
      <c r="F1267" s="2870">
        <f>SUM(G1267:J1267)</f>
        <v>0</v>
      </c>
      <c r="G1267" s="2870"/>
      <c r="H1267" s="2870"/>
      <c r="I1267" s="2870"/>
      <c r="J1267" s="2871"/>
    </row>
    <row r="1268" spans="1:15" s="2864" customFormat="1" ht="15" hidden="1" customHeight="1">
      <c r="A1268" s="3934"/>
      <c r="B1268" s="3935"/>
      <c r="C1268" s="3939"/>
      <c r="D1268" s="3939"/>
      <c r="E1268" s="2874"/>
      <c r="F1268" s="2870">
        <f>SUM(G1268:J1268)</f>
        <v>0</v>
      </c>
      <c r="G1268" s="2870"/>
      <c r="H1268" s="2870"/>
      <c r="I1268" s="2870"/>
      <c r="J1268" s="2871"/>
    </row>
    <row r="1269" spans="1:15" s="2879" customFormat="1" ht="24.95" customHeight="1">
      <c r="A1269" s="2858" t="s">
        <v>1401</v>
      </c>
      <c r="B1269" s="3930" t="s">
        <v>1412</v>
      </c>
      <c r="C1269" s="3930"/>
      <c r="D1269" s="3930"/>
      <c r="E1269" s="3930"/>
      <c r="F1269" s="2926">
        <f>F1271+F1294+F1317+F1363+F1415</f>
        <v>4075144</v>
      </c>
      <c r="G1269" s="2926">
        <f t="shared" ref="G1269:J1269" si="147">G1271+G1294+G1317+G1363+G1415</f>
        <v>108842</v>
      </c>
      <c r="H1269" s="2926">
        <f t="shared" si="147"/>
        <v>3439488</v>
      </c>
      <c r="I1269" s="2926">
        <f t="shared" si="147"/>
        <v>526814</v>
      </c>
      <c r="J1269" s="2927">
        <f t="shared" si="147"/>
        <v>0</v>
      </c>
      <c r="L1269" s="2943"/>
      <c r="M1269" s="2944"/>
      <c r="N1269" s="2878"/>
    </row>
    <row r="1270" spans="1:15" s="2864" customFormat="1" ht="15" customHeight="1">
      <c r="A1270" s="3931"/>
      <c r="B1270" s="3932"/>
      <c r="C1270" s="3932"/>
      <c r="D1270" s="3932"/>
      <c r="E1270" s="3932"/>
      <c r="F1270" s="3932"/>
      <c r="G1270" s="3932"/>
      <c r="H1270" s="3932"/>
      <c r="I1270" s="3932"/>
      <c r="J1270" s="3933"/>
      <c r="L1270" s="2945"/>
      <c r="M1270" s="2865"/>
    </row>
    <row r="1271" spans="1:15" s="2864" customFormat="1" ht="22.5">
      <c r="A1271" s="3910" t="s">
        <v>1302</v>
      </c>
      <c r="B1271" s="3912" t="s">
        <v>1413</v>
      </c>
      <c r="C1271" s="3924">
        <v>852</v>
      </c>
      <c r="D1271" s="3927" t="s">
        <v>1180</v>
      </c>
      <c r="E1271" s="2861" t="s">
        <v>1304</v>
      </c>
      <c r="F1271" s="2862">
        <f>SUM(F1272,F1291)</f>
        <v>720000</v>
      </c>
      <c r="G1271" s="2862">
        <f>SUM(G1272,G1291)</f>
        <v>108000</v>
      </c>
      <c r="H1271" s="2862">
        <f>SUM(H1272,H1291)</f>
        <v>612000</v>
      </c>
      <c r="I1271" s="2862">
        <f>SUM(I1272,I1291)</f>
        <v>0</v>
      </c>
      <c r="J1271" s="2863">
        <f>SUM(J1272,J1291)</f>
        <v>0</v>
      </c>
      <c r="K1271" s="2878"/>
      <c r="L1271" s="2946"/>
      <c r="M1271" s="2878"/>
      <c r="N1271" s="2878"/>
      <c r="O1271" s="2879"/>
    </row>
    <row r="1272" spans="1:15" s="2864" customFormat="1" ht="21">
      <c r="A1272" s="3911"/>
      <c r="B1272" s="3913"/>
      <c r="C1272" s="3925"/>
      <c r="D1272" s="3928"/>
      <c r="E1272" s="2866" t="s">
        <v>1310</v>
      </c>
      <c r="F1272" s="2867">
        <f>SUM(F1273,F1285)</f>
        <v>720000</v>
      </c>
      <c r="G1272" s="2867">
        <f>SUM(G1273,G1285)</f>
        <v>108000</v>
      </c>
      <c r="H1272" s="2867">
        <f>SUM(H1273,H1285)</f>
        <v>612000</v>
      </c>
      <c r="I1272" s="2867">
        <f>SUM(I1273,I1285)</f>
        <v>0</v>
      </c>
      <c r="J1272" s="2868">
        <f>SUM(J1273,J1285)</f>
        <v>0</v>
      </c>
      <c r="K1272" s="2878"/>
      <c r="L1272" s="2912"/>
      <c r="M1272" s="2878"/>
      <c r="N1272" s="2879"/>
      <c r="O1272" s="2879"/>
    </row>
    <row r="1273" spans="1:15" s="2864" customFormat="1" ht="22.5">
      <c r="A1273" s="3911"/>
      <c r="B1273" s="3913"/>
      <c r="C1273" s="3925"/>
      <c r="D1273" s="3928"/>
      <c r="E1273" s="2880" t="s">
        <v>1311</v>
      </c>
      <c r="F1273" s="2881">
        <f>SUM(F1274:F1284)</f>
        <v>506291</v>
      </c>
      <c r="G1273" s="2881">
        <f>SUM(G1274:G1284)</f>
        <v>108000</v>
      </c>
      <c r="H1273" s="2881">
        <f>SUM(H1274:H1284)</f>
        <v>398291</v>
      </c>
      <c r="I1273" s="2881">
        <f>SUM(I1274:I1284)</f>
        <v>0</v>
      </c>
      <c r="J1273" s="2882">
        <f>SUM(J1274:J1284)</f>
        <v>0</v>
      </c>
      <c r="K1273" s="2879"/>
      <c r="L1273" s="2912"/>
      <c r="M1273" s="2878"/>
      <c r="N1273" s="2879"/>
      <c r="O1273" s="2879"/>
    </row>
    <row r="1274" spans="1:15" s="2864" customFormat="1" ht="15" customHeight="1">
      <c r="A1274" s="3911"/>
      <c r="B1274" s="3913"/>
      <c r="C1274" s="3925"/>
      <c r="D1274" s="3928"/>
      <c r="E1274" s="2869" t="s">
        <v>887</v>
      </c>
      <c r="F1274" s="2870">
        <f t="shared" ref="F1274:F1283" si="148">SUM(G1274:J1274)</f>
        <v>258546</v>
      </c>
      <c r="G1274" s="2870"/>
      <c r="H1274" s="2870">
        <v>258546</v>
      </c>
      <c r="I1274" s="2870"/>
      <c r="J1274" s="2871"/>
      <c r="K1274" s="2879"/>
      <c r="L1274" s="2947"/>
      <c r="M1274" s="2878"/>
      <c r="N1274" s="2879"/>
      <c r="O1274" s="2879"/>
    </row>
    <row r="1275" spans="1:15" s="2864" customFormat="1" ht="15" customHeight="1">
      <c r="A1275" s="3911"/>
      <c r="B1275" s="3913"/>
      <c r="C1275" s="3925"/>
      <c r="D1275" s="3928"/>
      <c r="E1275" s="2869" t="s">
        <v>829</v>
      </c>
      <c r="F1275" s="2870">
        <f t="shared" si="148"/>
        <v>90256</v>
      </c>
      <c r="G1275" s="2870">
        <v>90256</v>
      </c>
      <c r="H1275" s="2870"/>
      <c r="I1275" s="2870"/>
      <c r="J1275" s="2871"/>
      <c r="K1275" s="2879"/>
      <c r="L1275" s="2947"/>
      <c r="M1275" s="2878"/>
      <c r="N1275" s="2879"/>
      <c r="O1275" s="2879"/>
    </row>
    <row r="1276" spans="1:15" s="2864" customFormat="1" ht="15" customHeight="1">
      <c r="A1276" s="3911"/>
      <c r="B1276" s="3913"/>
      <c r="C1276" s="3925"/>
      <c r="D1276" s="3928"/>
      <c r="E1276" s="2869" t="s">
        <v>888</v>
      </c>
      <c r="F1276" s="2870">
        <f t="shared" si="148"/>
        <v>47343</v>
      </c>
      <c r="G1276" s="2870"/>
      <c r="H1276" s="2870">
        <v>47343</v>
      </c>
      <c r="I1276" s="2870"/>
      <c r="J1276" s="2871"/>
      <c r="K1276" s="2879"/>
      <c r="L1276" s="2947"/>
      <c r="M1276" s="2878"/>
      <c r="N1276" s="2879"/>
      <c r="O1276" s="2879"/>
    </row>
    <row r="1277" spans="1:15" s="2864" customFormat="1" ht="15" customHeight="1">
      <c r="A1277" s="3911"/>
      <c r="B1277" s="3913"/>
      <c r="C1277" s="3925"/>
      <c r="D1277" s="3928"/>
      <c r="E1277" s="2869" t="s">
        <v>889</v>
      </c>
      <c r="F1277" s="2870">
        <f t="shared" si="148"/>
        <v>52801</v>
      </c>
      <c r="G1277" s="2870"/>
      <c r="H1277" s="2870">
        <v>52801</v>
      </c>
      <c r="I1277" s="2870"/>
      <c r="J1277" s="2871"/>
      <c r="K1277" s="2879"/>
      <c r="L1277" s="2947"/>
      <c r="M1277" s="2878"/>
      <c r="N1277" s="2879"/>
      <c r="O1277" s="2879"/>
    </row>
    <row r="1278" spans="1:15" s="2864" customFormat="1" ht="15" customHeight="1">
      <c r="A1278" s="3911"/>
      <c r="B1278" s="3913"/>
      <c r="C1278" s="3925"/>
      <c r="D1278" s="3928"/>
      <c r="E1278" s="2869" t="s">
        <v>833</v>
      </c>
      <c r="F1278" s="2870">
        <f t="shared" si="148"/>
        <v>14553</v>
      </c>
      <c r="G1278" s="2870">
        <v>14553</v>
      </c>
      <c r="H1278" s="2870"/>
      <c r="I1278" s="2870"/>
      <c r="J1278" s="2871"/>
      <c r="K1278" s="2879"/>
      <c r="L1278" s="2947"/>
      <c r="M1278" s="2878"/>
      <c r="N1278" s="2879"/>
      <c r="O1278" s="2879"/>
    </row>
    <row r="1279" spans="1:15" s="2864" customFormat="1" ht="15" customHeight="1">
      <c r="A1279" s="3911"/>
      <c r="B1279" s="3913"/>
      <c r="C1279" s="3925"/>
      <c r="D1279" s="3928"/>
      <c r="E1279" s="2869" t="s">
        <v>890</v>
      </c>
      <c r="F1279" s="2870">
        <f t="shared" si="148"/>
        <v>7505</v>
      </c>
      <c r="G1279" s="2870"/>
      <c r="H1279" s="2870">
        <v>7505</v>
      </c>
      <c r="I1279" s="2870"/>
      <c r="J1279" s="2871"/>
      <c r="K1279" s="2879"/>
      <c r="L1279" s="2947"/>
      <c r="M1279" s="2878"/>
      <c r="N1279" s="2879"/>
      <c r="O1279" s="2879"/>
    </row>
    <row r="1280" spans="1:15" s="2864" customFormat="1" ht="15" customHeight="1">
      <c r="A1280" s="3911"/>
      <c r="B1280" s="3913"/>
      <c r="C1280" s="3925"/>
      <c r="D1280" s="3928"/>
      <c r="E1280" s="2869" t="s">
        <v>835</v>
      </c>
      <c r="F1280" s="2870">
        <f t="shared" si="148"/>
        <v>2211</v>
      </c>
      <c r="G1280" s="2870">
        <v>2211</v>
      </c>
      <c r="H1280" s="2870"/>
      <c r="I1280" s="2870"/>
      <c r="J1280" s="2871"/>
      <c r="K1280" s="2879"/>
      <c r="L1280" s="2947"/>
      <c r="M1280" s="2878"/>
      <c r="N1280" s="2879"/>
      <c r="O1280" s="2879"/>
    </row>
    <row r="1281" spans="1:15" s="2864" customFormat="1" ht="15" customHeight="1">
      <c r="A1281" s="3911"/>
      <c r="B1281" s="3913"/>
      <c r="C1281" s="3925"/>
      <c r="D1281" s="3928"/>
      <c r="E1281" s="2869" t="s">
        <v>1003</v>
      </c>
      <c r="F1281" s="2870">
        <f t="shared" si="148"/>
        <v>26943</v>
      </c>
      <c r="G1281" s="2870"/>
      <c r="H1281" s="2870">
        <v>26943</v>
      </c>
      <c r="I1281" s="2870"/>
      <c r="J1281" s="2871"/>
      <c r="K1281" s="2879"/>
      <c r="L1281" s="2947"/>
      <c r="M1281" s="2878"/>
      <c r="N1281" s="2879"/>
      <c r="O1281" s="2879"/>
    </row>
    <row r="1282" spans="1:15" s="2864" customFormat="1" ht="15" hidden="1" customHeight="1">
      <c r="A1282" s="3911"/>
      <c r="B1282" s="3913"/>
      <c r="C1282" s="3925"/>
      <c r="D1282" s="3928"/>
      <c r="E1282" s="2869" t="s">
        <v>837</v>
      </c>
      <c r="F1282" s="2870">
        <f t="shared" si="148"/>
        <v>0</v>
      </c>
      <c r="G1282" s="2870"/>
      <c r="H1282" s="2870"/>
      <c r="I1282" s="2870"/>
      <c r="J1282" s="2871"/>
      <c r="K1282" s="2879"/>
      <c r="L1282" s="2947"/>
      <c r="M1282" s="2878"/>
      <c r="N1282" s="2879"/>
      <c r="O1282" s="2879"/>
    </row>
    <row r="1283" spans="1:15" s="2864" customFormat="1" ht="15" customHeight="1">
      <c r="A1283" s="3911"/>
      <c r="B1283" s="3913"/>
      <c r="C1283" s="3925"/>
      <c r="D1283" s="3928"/>
      <c r="E1283" s="2869" t="s">
        <v>896</v>
      </c>
      <c r="F1283" s="2870">
        <f t="shared" si="148"/>
        <v>5153</v>
      </c>
      <c r="G1283" s="2870"/>
      <c r="H1283" s="2870">
        <v>5153</v>
      </c>
      <c r="I1283" s="2870"/>
      <c r="J1283" s="2871"/>
      <c r="K1283" s="2879"/>
      <c r="L1283" s="2947"/>
      <c r="M1283" s="2878"/>
      <c r="N1283" s="2879"/>
      <c r="O1283" s="2879"/>
    </row>
    <row r="1284" spans="1:15" s="2864" customFormat="1" ht="15" customHeight="1">
      <c r="A1284" s="3911"/>
      <c r="B1284" s="3913"/>
      <c r="C1284" s="3925"/>
      <c r="D1284" s="3928"/>
      <c r="E1284" s="2869" t="s">
        <v>856</v>
      </c>
      <c r="F1284" s="2870">
        <f>SUM(G1284:J1284)</f>
        <v>980</v>
      </c>
      <c r="G1284" s="2870">
        <v>980</v>
      </c>
      <c r="H1284" s="2870"/>
      <c r="I1284" s="2870"/>
      <c r="J1284" s="2871"/>
      <c r="K1284" s="2879"/>
      <c r="L1284" s="2947"/>
      <c r="M1284" s="2878"/>
      <c r="N1284" s="2879"/>
      <c r="O1284" s="2879"/>
    </row>
    <row r="1285" spans="1:15" s="2864" customFormat="1" ht="22.5">
      <c r="A1285" s="3911"/>
      <c r="B1285" s="3913"/>
      <c r="C1285" s="3925"/>
      <c r="D1285" s="3928"/>
      <c r="E1285" s="2880" t="s">
        <v>1312</v>
      </c>
      <c r="F1285" s="2881">
        <f>SUM(F1286:F1290)</f>
        <v>213709</v>
      </c>
      <c r="G1285" s="2881">
        <f>SUM(G1286:G1290)</f>
        <v>0</v>
      </c>
      <c r="H1285" s="2881">
        <f>SUM(H1286:H1290)</f>
        <v>213709</v>
      </c>
      <c r="I1285" s="2881">
        <f>SUM(I1286:I1290)</f>
        <v>0</v>
      </c>
      <c r="J1285" s="2882">
        <f>SUM(J1286:J1290)</f>
        <v>0</v>
      </c>
      <c r="K1285" s="2879"/>
      <c r="L1285" s="2947"/>
      <c r="M1285" s="2878"/>
      <c r="N1285" s="2879"/>
      <c r="O1285" s="2879"/>
    </row>
    <row r="1286" spans="1:15" s="2864" customFormat="1" ht="15" customHeight="1">
      <c r="A1286" s="3911"/>
      <c r="B1286" s="3913"/>
      <c r="C1286" s="3925"/>
      <c r="D1286" s="3928"/>
      <c r="E1286" s="2869" t="s">
        <v>891</v>
      </c>
      <c r="F1286" s="2870">
        <f t="shared" ref="F1286:F1290" si="149">SUM(G1286:J1286)</f>
        <v>5800</v>
      </c>
      <c r="G1286" s="2870"/>
      <c r="H1286" s="2870">
        <v>5800</v>
      </c>
      <c r="I1286" s="2870"/>
      <c r="J1286" s="2871"/>
      <c r="K1286" s="2879"/>
      <c r="L1286" s="2912"/>
      <c r="M1286" s="2878"/>
      <c r="N1286" s="2879"/>
      <c r="O1286" s="2879"/>
    </row>
    <row r="1287" spans="1:15" s="2864" customFormat="1" ht="15" customHeight="1">
      <c r="A1287" s="3911"/>
      <c r="B1287" s="3913"/>
      <c r="C1287" s="3925"/>
      <c r="D1287" s="3928"/>
      <c r="E1287" s="2869" t="s">
        <v>892</v>
      </c>
      <c r="F1287" s="2870">
        <f t="shared" si="149"/>
        <v>206121</v>
      </c>
      <c r="G1287" s="2870"/>
      <c r="H1287" s="2870">
        <v>206121</v>
      </c>
      <c r="I1287" s="2870"/>
      <c r="J1287" s="2871"/>
      <c r="K1287" s="2879"/>
      <c r="L1287" s="2912"/>
      <c r="M1287" s="2878"/>
      <c r="N1287" s="2879"/>
      <c r="O1287" s="2879"/>
    </row>
    <row r="1288" spans="1:15" s="2864" customFormat="1" ht="15" hidden="1" customHeight="1">
      <c r="A1288" s="3911"/>
      <c r="B1288" s="3913"/>
      <c r="C1288" s="3925"/>
      <c r="D1288" s="3928"/>
      <c r="E1288" s="2869" t="s">
        <v>846</v>
      </c>
      <c r="F1288" s="2870">
        <f t="shared" si="149"/>
        <v>0</v>
      </c>
      <c r="G1288" s="2870"/>
      <c r="H1288" s="2870"/>
      <c r="I1288" s="2870"/>
      <c r="J1288" s="2871"/>
      <c r="K1288" s="2879"/>
      <c r="L1288" s="2912"/>
      <c r="M1288" s="2878"/>
      <c r="N1288" s="2879"/>
      <c r="O1288" s="2879"/>
    </row>
    <row r="1289" spans="1:15" s="2864" customFormat="1" ht="15" customHeight="1">
      <c r="A1289" s="3911"/>
      <c r="B1289" s="3913"/>
      <c r="C1289" s="3925"/>
      <c r="D1289" s="3928"/>
      <c r="E1289" s="2869" t="s">
        <v>1052</v>
      </c>
      <c r="F1289" s="2870">
        <f t="shared" si="149"/>
        <v>280</v>
      </c>
      <c r="G1289" s="2870"/>
      <c r="H1289" s="2870">
        <v>280</v>
      </c>
      <c r="I1289" s="2870"/>
      <c r="J1289" s="2871"/>
      <c r="K1289" s="2879"/>
      <c r="L1289" s="2947"/>
      <c r="M1289" s="2878"/>
      <c r="N1289" s="2879"/>
      <c r="O1289" s="2879"/>
    </row>
    <row r="1290" spans="1:15" s="2948" customFormat="1" ht="15" customHeight="1">
      <c r="A1290" s="3911"/>
      <c r="B1290" s="3913"/>
      <c r="C1290" s="3925"/>
      <c r="D1290" s="3928"/>
      <c r="E1290" s="2869" t="s">
        <v>894</v>
      </c>
      <c r="F1290" s="2870">
        <f t="shared" si="149"/>
        <v>1508</v>
      </c>
      <c r="G1290" s="2870"/>
      <c r="H1290" s="2870">
        <v>1508</v>
      </c>
      <c r="I1290" s="2870"/>
      <c r="J1290" s="2871"/>
      <c r="K1290" s="232"/>
      <c r="L1290" s="2947"/>
      <c r="M1290" s="203"/>
      <c r="N1290" s="232"/>
      <c r="O1290" s="232"/>
    </row>
    <row r="1291" spans="1:15" s="2948" customFormat="1" ht="15" customHeight="1">
      <c r="A1291" s="3920"/>
      <c r="B1291" s="3937"/>
      <c r="C1291" s="3926"/>
      <c r="D1291" s="3929"/>
      <c r="E1291" s="2872" t="s">
        <v>1305</v>
      </c>
      <c r="F1291" s="2867">
        <f>SUM(F1292:F1293)</f>
        <v>0</v>
      </c>
      <c r="G1291" s="2867">
        <f>SUM(G1292:G1293)</f>
        <v>0</v>
      </c>
      <c r="H1291" s="2867">
        <f>SUM(H1292:H1293)</f>
        <v>0</v>
      </c>
      <c r="I1291" s="2867">
        <f>SUM(I1292:I1293)</f>
        <v>0</v>
      </c>
      <c r="J1291" s="2868">
        <f>SUM(J1292:J1293)</f>
        <v>0</v>
      </c>
      <c r="K1291" s="232"/>
      <c r="L1291" s="2947"/>
      <c r="M1291" s="203"/>
      <c r="N1291" s="232"/>
      <c r="O1291" s="232"/>
    </row>
    <row r="1292" spans="1:15" s="2948" customFormat="1" ht="15" hidden="1" customHeight="1">
      <c r="A1292" s="2891"/>
      <c r="B1292" s="2910"/>
      <c r="C1292" s="2893"/>
      <c r="D1292" s="2894"/>
      <c r="E1292" s="2895"/>
      <c r="F1292" s="2896">
        <f>SUM(G1292:J1292)</f>
        <v>0</v>
      </c>
      <c r="G1292" s="2896"/>
      <c r="H1292" s="2896"/>
      <c r="I1292" s="2896"/>
      <c r="J1292" s="2897"/>
      <c r="K1292" s="232"/>
      <c r="L1292" s="2947"/>
      <c r="M1292" s="203"/>
      <c r="N1292" s="232"/>
      <c r="O1292" s="232"/>
    </row>
    <row r="1293" spans="1:15" s="243" customFormat="1" ht="15" hidden="1" customHeight="1">
      <c r="A1293" s="2891"/>
      <c r="B1293" s="2910"/>
      <c r="C1293" s="2893"/>
      <c r="D1293" s="2894"/>
      <c r="E1293" s="2916"/>
      <c r="F1293" s="2896">
        <f>SUM(G1293:J1293)</f>
        <v>0</v>
      </c>
      <c r="G1293" s="2896"/>
      <c r="H1293" s="2896"/>
      <c r="I1293" s="2896"/>
      <c r="J1293" s="2897"/>
      <c r="K1293" s="204"/>
      <c r="L1293" s="2947"/>
      <c r="M1293" s="203"/>
      <c r="N1293" s="204"/>
      <c r="O1293" s="204"/>
    </row>
    <row r="1294" spans="1:15" s="2864" customFormat="1" ht="22.5">
      <c r="A1294" s="3910" t="s">
        <v>1306</v>
      </c>
      <c r="B1294" s="3912" t="s">
        <v>1414</v>
      </c>
      <c r="C1294" s="3924">
        <v>853</v>
      </c>
      <c r="D1294" s="3927" t="s">
        <v>1196</v>
      </c>
      <c r="E1294" s="2861" t="s">
        <v>1304</v>
      </c>
      <c r="F1294" s="2862">
        <f>SUM(F1295,F1314)</f>
        <v>51484</v>
      </c>
      <c r="G1294" s="2862">
        <f>SUM(G1295,G1314)</f>
        <v>0</v>
      </c>
      <c r="H1294" s="2862">
        <f>SUM(H1295,H1314)</f>
        <v>43390</v>
      </c>
      <c r="I1294" s="2862">
        <f>SUM(I1295,I1314)</f>
        <v>8094</v>
      </c>
      <c r="J1294" s="2863">
        <f>SUM(J1295,J1314)</f>
        <v>0</v>
      </c>
      <c r="K1294" s="2879"/>
      <c r="L1294" s="2947"/>
      <c r="M1294" s="2878"/>
      <c r="N1294" s="2879"/>
      <c r="O1294" s="2879"/>
    </row>
    <row r="1295" spans="1:15" s="2864" customFormat="1" ht="21">
      <c r="A1295" s="3911"/>
      <c r="B1295" s="3913"/>
      <c r="C1295" s="3925"/>
      <c r="D1295" s="3928"/>
      <c r="E1295" s="2866" t="s">
        <v>1310</v>
      </c>
      <c r="F1295" s="2867">
        <f>SUM(F1296,F1298,F1307)</f>
        <v>51484</v>
      </c>
      <c r="G1295" s="2867">
        <f>SUM(G1296,G1298,G1307)</f>
        <v>0</v>
      </c>
      <c r="H1295" s="2867">
        <f>SUM(H1296,H1298,H1307)</f>
        <v>43390</v>
      </c>
      <c r="I1295" s="2867">
        <f>SUM(I1296,I1298,I1307)</f>
        <v>8094</v>
      </c>
      <c r="J1295" s="2868">
        <f>SUM(J1296,J1298,J1307)</f>
        <v>0</v>
      </c>
      <c r="K1295" s="2879"/>
      <c r="L1295" s="2947"/>
      <c r="M1295" s="2878"/>
      <c r="N1295" s="2879"/>
      <c r="O1295" s="2879"/>
    </row>
    <row r="1296" spans="1:15" s="2864" customFormat="1" ht="15" hidden="1" customHeight="1">
      <c r="A1296" s="3911"/>
      <c r="B1296" s="3913"/>
      <c r="C1296" s="3925"/>
      <c r="D1296" s="3928"/>
      <c r="E1296" s="2880" t="s">
        <v>1324</v>
      </c>
      <c r="F1296" s="2881">
        <f>SUM(F1297)</f>
        <v>0</v>
      </c>
      <c r="G1296" s="2881">
        <f t="shared" ref="G1296:J1296" si="150">SUM(G1297)</f>
        <v>0</v>
      </c>
      <c r="H1296" s="2881">
        <f t="shared" si="150"/>
        <v>0</v>
      </c>
      <c r="I1296" s="2881">
        <f t="shared" si="150"/>
        <v>0</v>
      </c>
      <c r="J1296" s="2882">
        <f t="shared" si="150"/>
        <v>0</v>
      </c>
      <c r="K1296" s="2879"/>
      <c r="L1296" s="2947"/>
      <c r="M1296" s="2879"/>
      <c r="N1296" s="2879"/>
      <c r="O1296" s="2879"/>
    </row>
    <row r="1297" spans="1:15" s="2864" customFormat="1" ht="15" hidden="1" customHeight="1">
      <c r="A1297" s="3911"/>
      <c r="B1297" s="3913"/>
      <c r="C1297" s="3925"/>
      <c r="D1297" s="3928"/>
      <c r="E1297" s="3184" t="s">
        <v>573</v>
      </c>
      <c r="F1297" s="2870">
        <f>SUM(G1297:J1297)</f>
        <v>0</v>
      </c>
      <c r="G1297" s="2870"/>
      <c r="H1297" s="2870"/>
      <c r="I1297" s="2870"/>
      <c r="J1297" s="2871"/>
      <c r="K1297" s="2879"/>
      <c r="L1297" s="2947"/>
      <c r="M1297" s="2879"/>
      <c r="N1297" s="2879"/>
      <c r="O1297" s="2879"/>
    </row>
    <row r="1298" spans="1:15" s="2864" customFormat="1" ht="22.5">
      <c r="A1298" s="3911"/>
      <c r="B1298" s="3913"/>
      <c r="C1298" s="3925"/>
      <c r="D1298" s="3928"/>
      <c r="E1298" s="2880" t="s">
        <v>1311</v>
      </c>
      <c r="F1298" s="2881">
        <f>SUM(F1299:F1306)</f>
        <v>49359</v>
      </c>
      <c r="G1298" s="2881">
        <f>SUM(G1299:G1306)</f>
        <v>0</v>
      </c>
      <c r="H1298" s="2881">
        <f>SUM(H1299:H1306)</f>
        <v>41599</v>
      </c>
      <c r="I1298" s="2881">
        <f>SUM(I1299:I1306)</f>
        <v>7760</v>
      </c>
      <c r="J1298" s="2882">
        <f>SUM(J1299:J1306)</f>
        <v>0</v>
      </c>
      <c r="K1298" s="2879"/>
      <c r="L1298" s="2947"/>
      <c r="M1298" s="2878"/>
      <c r="N1298" s="2879"/>
      <c r="O1298" s="2879"/>
    </row>
    <row r="1299" spans="1:15" s="2864" customFormat="1" ht="15" customHeight="1">
      <c r="A1299" s="3911"/>
      <c r="B1299" s="3913"/>
      <c r="C1299" s="3925"/>
      <c r="D1299" s="3928"/>
      <c r="E1299" s="3184" t="s">
        <v>887</v>
      </c>
      <c r="F1299" s="2870">
        <f t="shared" ref="F1299:F1306" si="151">SUM(G1299:J1299)</f>
        <v>31080</v>
      </c>
      <c r="G1299" s="2870"/>
      <c r="H1299" s="2870">
        <v>31080</v>
      </c>
      <c r="I1299" s="2870"/>
      <c r="J1299" s="2871"/>
      <c r="K1299" s="2949"/>
      <c r="L1299" s="2912"/>
      <c r="M1299" s="2878"/>
      <c r="N1299" s="2879"/>
      <c r="O1299" s="2879"/>
    </row>
    <row r="1300" spans="1:15" s="2864" customFormat="1" ht="15" customHeight="1">
      <c r="A1300" s="3911"/>
      <c r="B1300" s="3913"/>
      <c r="C1300" s="3925"/>
      <c r="D1300" s="3928"/>
      <c r="E1300" s="3184" t="s">
        <v>829</v>
      </c>
      <c r="F1300" s="2870">
        <f t="shared" si="151"/>
        <v>5798</v>
      </c>
      <c r="G1300" s="2870"/>
      <c r="H1300" s="2870"/>
      <c r="I1300" s="2870">
        <v>5798</v>
      </c>
      <c r="J1300" s="2871"/>
      <c r="K1300" s="2879"/>
      <c r="L1300" s="2912"/>
      <c r="M1300" s="2878"/>
      <c r="N1300" s="2879"/>
      <c r="O1300" s="2879"/>
    </row>
    <row r="1301" spans="1:15" s="2864" customFormat="1" ht="15" customHeight="1">
      <c r="A1301" s="3911"/>
      <c r="B1301" s="3913"/>
      <c r="C1301" s="3925"/>
      <c r="D1301" s="3928"/>
      <c r="E1301" s="3184" t="s">
        <v>888</v>
      </c>
      <c r="F1301" s="2870">
        <f t="shared" si="151"/>
        <v>3744</v>
      </c>
      <c r="G1301" s="2870"/>
      <c r="H1301" s="2870">
        <v>3744</v>
      </c>
      <c r="I1301" s="2870"/>
      <c r="J1301" s="2871"/>
      <c r="K1301" s="2878"/>
      <c r="L1301" s="2912"/>
      <c r="M1301" s="2878"/>
      <c r="N1301" s="2879"/>
      <c r="O1301" s="2879"/>
    </row>
    <row r="1302" spans="1:15" s="2864" customFormat="1" ht="15" customHeight="1">
      <c r="A1302" s="3911"/>
      <c r="B1302" s="3913"/>
      <c r="C1302" s="3925"/>
      <c r="D1302" s="3928"/>
      <c r="E1302" s="3184" t="s">
        <v>831</v>
      </c>
      <c r="F1302" s="2870">
        <f t="shared" si="151"/>
        <v>699</v>
      </c>
      <c r="G1302" s="2870"/>
      <c r="H1302" s="2870"/>
      <c r="I1302" s="2870">
        <v>699</v>
      </c>
      <c r="J1302" s="2871"/>
      <c r="K1302" s="2879"/>
      <c r="L1302" s="2912"/>
      <c r="M1302" s="2878"/>
      <c r="N1302" s="2879"/>
      <c r="O1302" s="2879"/>
    </row>
    <row r="1303" spans="1:15" s="2864" customFormat="1" ht="15" customHeight="1">
      <c r="A1303" s="3911"/>
      <c r="B1303" s="3913"/>
      <c r="C1303" s="3925"/>
      <c r="D1303" s="3928"/>
      <c r="E1303" s="3184" t="s">
        <v>889</v>
      </c>
      <c r="F1303" s="2870">
        <f t="shared" si="151"/>
        <v>5921</v>
      </c>
      <c r="G1303" s="2870"/>
      <c r="H1303" s="2870">
        <v>5921</v>
      </c>
      <c r="I1303" s="2870"/>
      <c r="J1303" s="2871"/>
      <c r="K1303" s="2879"/>
      <c r="L1303" s="2912"/>
      <c r="M1303" s="2878"/>
      <c r="N1303" s="2879"/>
      <c r="O1303" s="2879"/>
    </row>
    <row r="1304" spans="1:15" s="2864" customFormat="1" ht="15" customHeight="1">
      <c r="A1304" s="3911"/>
      <c r="B1304" s="3913"/>
      <c r="C1304" s="3925"/>
      <c r="D1304" s="3928"/>
      <c r="E1304" s="3184" t="s">
        <v>833</v>
      </c>
      <c r="F1304" s="2870">
        <f t="shared" si="151"/>
        <v>1104</v>
      </c>
      <c r="G1304" s="2870"/>
      <c r="H1304" s="2870"/>
      <c r="I1304" s="2870">
        <v>1104</v>
      </c>
      <c r="J1304" s="2871"/>
      <c r="K1304" s="2879"/>
      <c r="L1304" s="2912"/>
      <c r="M1304" s="2878"/>
      <c r="N1304" s="2879"/>
      <c r="O1304" s="2879"/>
    </row>
    <row r="1305" spans="1:15" s="2864" customFormat="1" ht="15" customHeight="1">
      <c r="A1305" s="3911"/>
      <c r="B1305" s="3913"/>
      <c r="C1305" s="3925"/>
      <c r="D1305" s="3928"/>
      <c r="E1305" s="3184" t="s">
        <v>890</v>
      </c>
      <c r="F1305" s="2870">
        <f t="shared" si="151"/>
        <v>854</v>
      </c>
      <c r="G1305" s="2870"/>
      <c r="H1305" s="2870">
        <v>854</v>
      </c>
      <c r="I1305" s="2870"/>
      <c r="J1305" s="2871"/>
      <c r="K1305" s="2879"/>
      <c r="L1305" s="2879"/>
      <c r="M1305" s="2879"/>
      <c r="N1305" s="2879"/>
      <c r="O1305" s="2879"/>
    </row>
    <row r="1306" spans="1:15" s="2864" customFormat="1" ht="15" customHeight="1">
      <c r="A1306" s="3911"/>
      <c r="B1306" s="3913"/>
      <c r="C1306" s="3925"/>
      <c r="D1306" s="3928"/>
      <c r="E1306" s="3184" t="s">
        <v>835</v>
      </c>
      <c r="F1306" s="2870">
        <f t="shared" si="151"/>
        <v>159</v>
      </c>
      <c r="G1306" s="2870"/>
      <c r="H1306" s="2870"/>
      <c r="I1306" s="2870">
        <v>159</v>
      </c>
      <c r="J1306" s="2871"/>
      <c r="K1306" s="2879"/>
      <c r="L1306" s="2879"/>
      <c r="M1306" s="2878"/>
      <c r="N1306" s="2879"/>
      <c r="O1306" s="2879"/>
    </row>
    <row r="1307" spans="1:15" s="2864" customFormat="1" ht="22.5">
      <c r="A1307" s="3911"/>
      <c r="B1307" s="3913"/>
      <c r="C1307" s="3925"/>
      <c r="D1307" s="3928"/>
      <c r="E1307" s="2880" t="s">
        <v>1312</v>
      </c>
      <c r="F1307" s="2881">
        <f>SUM(F1308:F1313)</f>
        <v>2125</v>
      </c>
      <c r="G1307" s="2881">
        <f>SUM(G1308:G1313)</f>
        <v>0</v>
      </c>
      <c r="H1307" s="2881">
        <f>SUM(H1308:H1313)</f>
        <v>1791</v>
      </c>
      <c r="I1307" s="2881">
        <f>SUM(I1308:I1313)</f>
        <v>334</v>
      </c>
      <c r="J1307" s="2882">
        <f>SUM(J1308:J1313)</f>
        <v>0</v>
      </c>
      <c r="K1307" s="2879"/>
      <c r="L1307" s="2879"/>
      <c r="M1307" s="2879"/>
      <c r="N1307" s="2879"/>
      <c r="O1307" s="2879"/>
    </row>
    <row r="1308" spans="1:15" s="2864" customFormat="1" ht="15" hidden="1" customHeight="1">
      <c r="A1308" s="3911"/>
      <c r="B1308" s="3913"/>
      <c r="C1308" s="3925"/>
      <c r="D1308" s="3928"/>
      <c r="E1308" s="2913" t="s">
        <v>891</v>
      </c>
      <c r="F1308" s="2870">
        <f>SUM(G1308:J1308)</f>
        <v>0</v>
      </c>
      <c r="G1308" s="2870"/>
      <c r="H1308" s="2870"/>
      <c r="I1308" s="2870"/>
      <c r="J1308" s="2871"/>
      <c r="K1308" s="2879"/>
      <c r="L1308" s="2879"/>
      <c r="M1308" s="2879"/>
      <c r="N1308" s="2879"/>
      <c r="O1308" s="2879"/>
    </row>
    <row r="1309" spans="1:15" s="2864" customFormat="1" ht="15" hidden="1" customHeight="1">
      <c r="A1309" s="3911"/>
      <c r="B1309" s="3913"/>
      <c r="C1309" s="3925"/>
      <c r="D1309" s="3928"/>
      <c r="E1309" s="2913" t="s">
        <v>842</v>
      </c>
      <c r="F1309" s="2870">
        <f>SUM(G1309:J1309)</f>
        <v>0</v>
      </c>
      <c r="G1309" s="2870"/>
      <c r="H1309" s="2870"/>
      <c r="I1309" s="2870"/>
      <c r="J1309" s="2871"/>
      <c r="K1309" s="2879"/>
      <c r="L1309" s="2879"/>
      <c r="M1309" s="2879"/>
      <c r="N1309" s="2879"/>
      <c r="O1309" s="2879"/>
    </row>
    <row r="1310" spans="1:15" s="2864" customFormat="1" ht="15" customHeight="1">
      <c r="A1310" s="3911"/>
      <c r="B1310" s="3913"/>
      <c r="C1310" s="3925"/>
      <c r="D1310" s="3928"/>
      <c r="E1310" s="3184" t="s">
        <v>894</v>
      </c>
      <c r="F1310" s="2870">
        <f t="shared" ref="F1310:F1313" si="152">SUM(G1310:J1310)</f>
        <v>851</v>
      </c>
      <c r="G1310" s="2870"/>
      <c r="H1310" s="2870">
        <v>851</v>
      </c>
      <c r="I1310" s="2870"/>
      <c r="J1310" s="2871"/>
      <c r="K1310" s="2879"/>
      <c r="L1310" s="2879"/>
      <c r="M1310" s="2879"/>
      <c r="N1310" s="2879"/>
      <c r="O1310" s="2879"/>
    </row>
    <row r="1311" spans="1:15" s="2864" customFormat="1" ht="15" customHeight="1">
      <c r="A1311" s="3911"/>
      <c r="B1311" s="3913"/>
      <c r="C1311" s="3925"/>
      <c r="D1311" s="3928"/>
      <c r="E1311" s="3184" t="s">
        <v>850</v>
      </c>
      <c r="F1311" s="2870">
        <f t="shared" si="152"/>
        <v>158</v>
      </c>
      <c r="G1311" s="2870"/>
      <c r="H1311" s="2870"/>
      <c r="I1311" s="2870">
        <v>158</v>
      </c>
      <c r="J1311" s="2871"/>
      <c r="K1311" s="2879"/>
      <c r="L1311" s="2879"/>
      <c r="M1311" s="2879"/>
      <c r="N1311" s="2879"/>
      <c r="O1311" s="2879"/>
    </row>
    <row r="1312" spans="1:15" s="2864" customFormat="1" ht="15" customHeight="1">
      <c r="A1312" s="3911"/>
      <c r="B1312" s="3913"/>
      <c r="C1312" s="3925"/>
      <c r="D1312" s="3928"/>
      <c r="E1312" s="3184" t="s">
        <v>1185</v>
      </c>
      <c r="F1312" s="2870">
        <f t="shared" si="152"/>
        <v>940</v>
      </c>
      <c r="G1312" s="2870"/>
      <c r="H1312" s="2870">
        <v>940</v>
      </c>
      <c r="I1312" s="2870"/>
      <c r="J1312" s="2871"/>
      <c r="K1312" s="2879"/>
      <c r="L1312" s="2879"/>
      <c r="M1312" s="2879"/>
      <c r="N1312" s="2879"/>
      <c r="O1312" s="2879"/>
    </row>
    <row r="1313" spans="1:15" s="2864" customFormat="1" ht="15" customHeight="1">
      <c r="A1313" s="3911"/>
      <c r="B1313" s="3913"/>
      <c r="C1313" s="3925"/>
      <c r="D1313" s="3928"/>
      <c r="E1313" s="3184" t="s">
        <v>1186</v>
      </c>
      <c r="F1313" s="2870">
        <f t="shared" si="152"/>
        <v>176</v>
      </c>
      <c r="G1313" s="2870"/>
      <c r="H1313" s="2870"/>
      <c r="I1313" s="2870">
        <v>176</v>
      </c>
      <c r="J1313" s="2871"/>
      <c r="K1313" s="2879"/>
      <c r="L1313" s="2879"/>
      <c r="M1313" s="2879"/>
      <c r="N1313" s="2879"/>
      <c r="O1313" s="2879"/>
    </row>
    <row r="1314" spans="1:15" s="2948" customFormat="1" ht="15" customHeight="1" thickBot="1">
      <c r="A1314" s="3959"/>
      <c r="B1314" s="3960"/>
      <c r="C1314" s="3961"/>
      <c r="D1314" s="3962"/>
      <c r="E1314" s="3214" t="s">
        <v>1305</v>
      </c>
      <c r="F1314" s="3215">
        <f>SUM(F1315:F1316)</f>
        <v>0</v>
      </c>
      <c r="G1314" s="3215">
        <f>SUM(G1315:G1316)</f>
        <v>0</v>
      </c>
      <c r="H1314" s="3215">
        <f>SUM(H1315:H1316)</f>
        <v>0</v>
      </c>
      <c r="I1314" s="3215">
        <f>SUM(I1315:I1316)</f>
        <v>0</v>
      </c>
      <c r="J1314" s="3216">
        <f>SUM(J1315:J1316)</f>
        <v>0</v>
      </c>
      <c r="K1314" s="232"/>
      <c r="L1314" s="232"/>
      <c r="M1314" s="232"/>
      <c r="N1314" s="232"/>
      <c r="O1314" s="232"/>
    </row>
    <row r="1315" spans="1:15" s="2948" customFormat="1" ht="15" hidden="1" customHeight="1">
      <c r="A1315" s="3207"/>
      <c r="B1315" s="3208"/>
      <c r="C1315" s="3209"/>
      <c r="D1315" s="3210"/>
      <c r="E1315" s="3211"/>
      <c r="F1315" s="3212">
        <f>SUM(G1315:J1315)</f>
        <v>0</v>
      </c>
      <c r="G1315" s="3212"/>
      <c r="H1315" s="3212"/>
      <c r="I1315" s="3212"/>
      <c r="J1315" s="3213"/>
      <c r="K1315" s="232"/>
      <c r="L1315" s="232"/>
      <c r="M1315" s="232"/>
      <c r="N1315" s="232"/>
      <c r="O1315" s="232"/>
    </row>
    <row r="1316" spans="1:15" s="243" customFormat="1" ht="15" hidden="1" customHeight="1">
      <c r="A1316" s="2891"/>
      <c r="B1316" s="2910"/>
      <c r="C1316" s="2893"/>
      <c r="D1316" s="2894"/>
      <c r="E1316" s="2916"/>
      <c r="F1316" s="2896">
        <f>SUM(G1316:J1316)</f>
        <v>0</v>
      </c>
      <c r="G1316" s="2896"/>
      <c r="H1316" s="2896"/>
      <c r="I1316" s="2896"/>
      <c r="J1316" s="2897"/>
      <c r="K1316" s="204"/>
      <c r="L1316" s="204"/>
      <c r="M1316" s="204"/>
      <c r="N1316" s="204"/>
      <c r="O1316" s="204"/>
    </row>
    <row r="1317" spans="1:15" s="2864" customFormat="1" ht="22.5">
      <c r="A1317" s="3910" t="s">
        <v>1308</v>
      </c>
      <c r="B1317" s="3912" t="s">
        <v>1415</v>
      </c>
      <c r="C1317" s="3924">
        <v>852</v>
      </c>
      <c r="D1317" s="3927" t="s">
        <v>1180</v>
      </c>
      <c r="E1317" s="2861" t="s">
        <v>1304</v>
      </c>
      <c r="F1317" s="2862">
        <f>SUM(F1318,F1360)</f>
        <v>3282342</v>
      </c>
      <c r="G1317" s="2862">
        <f>SUM(G1318,G1360)</f>
        <v>0</v>
      </c>
      <c r="H1317" s="2862">
        <f>SUM(H1318,H1360)</f>
        <v>2766357</v>
      </c>
      <c r="I1317" s="2862">
        <f>SUM(I1318,I1360)</f>
        <v>515985</v>
      </c>
      <c r="J1317" s="2863">
        <f>SUM(J1318,J1360)</f>
        <v>0</v>
      </c>
      <c r="K1317" s="2879"/>
      <c r="L1317" s="2879"/>
      <c r="M1317" s="2879"/>
      <c r="N1317" s="2879"/>
      <c r="O1317" s="2879"/>
    </row>
    <row r="1318" spans="1:15" s="2864" customFormat="1" ht="21">
      <c r="A1318" s="3911"/>
      <c r="B1318" s="3913"/>
      <c r="C1318" s="3925"/>
      <c r="D1318" s="3928"/>
      <c r="E1318" s="2866" t="s">
        <v>1310</v>
      </c>
      <c r="F1318" s="2867">
        <f>SUM(F1319,F1322,F1335)</f>
        <v>3282342</v>
      </c>
      <c r="G1318" s="2867">
        <f>SUM(G1319,G1322,G1335)</f>
        <v>0</v>
      </c>
      <c r="H1318" s="2867">
        <f>SUM(H1319,H1322,H1335)</f>
        <v>2766357</v>
      </c>
      <c r="I1318" s="2867">
        <f>SUM(I1319,I1322,I1335)</f>
        <v>515985</v>
      </c>
      <c r="J1318" s="2868">
        <f>SUM(J1319,J1322,J1335)</f>
        <v>0</v>
      </c>
      <c r="K1318" s="2879"/>
      <c r="L1318" s="2879"/>
      <c r="M1318" s="2879"/>
      <c r="N1318" s="2879"/>
      <c r="O1318" s="2879"/>
    </row>
    <row r="1319" spans="1:15" s="2864" customFormat="1" ht="15" customHeight="1">
      <c r="A1319" s="3911"/>
      <c r="B1319" s="3913"/>
      <c r="C1319" s="3925"/>
      <c r="D1319" s="3928"/>
      <c r="E1319" s="2880" t="s">
        <v>1324</v>
      </c>
      <c r="F1319" s="2881">
        <f>SUM(F1320:F1321)</f>
        <v>1994830</v>
      </c>
      <c r="G1319" s="2881">
        <f t="shared" ref="G1319:J1319" si="153">SUM(G1320:G1321)</f>
        <v>0</v>
      </c>
      <c r="H1319" s="2881">
        <f>SUM(H1320:H1321)</f>
        <v>1681242</v>
      </c>
      <c r="I1319" s="2881">
        <f t="shared" si="153"/>
        <v>313588</v>
      </c>
      <c r="J1319" s="2882">
        <f t="shared" si="153"/>
        <v>0</v>
      </c>
      <c r="K1319" s="2879"/>
      <c r="L1319" s="2879"/>
      <c r="M1319" s="2879"/>
      <c r="N1319" s="2879"/>
      <c r="O1319" s="2879"/>
    </row>
    <row r="1320" spans="1:15" s="2864" customFormat="1" ht="15" customHeight="1">
      <c r="A1320" s="3911"/>
      <c r="B1320" s="3913"/>
      <c r="C1320" s="3925"/>
      <c r="D1320" s="3928"/>
      <c r="E1320" s="2869" t="s">
        <v>573</v>
      </c>
      <c r="F1320" s="2870">
        <f>SUM(G1320:J1320)</f>
        <v>1681242</v>
      </c>
      <c r="G1320" s="2870"/>
      <c r="H1320" s="2870">
        <v>1681242</v>
      </c>
      <c r="I1320" s="2870"/>
      <c r="J1320" s="2871"/>
      <c r="K1320" s="2879"/>
      <c r="L1320" s="2879"/>
      <c r="M1320" s="2879"/>
      <c r="N1320" s="2879"/>
      <c r="O1320" s="2879"/>
    </row>
    <row r="1321" spans="1:15" s="2864" customFormat="1" ht="15" customHeight="1">
      <c r="A1321" s="3911"/>
      <c r="B1321" s="3913"/>
      <c r="C1321" s="3925"/>
      <c r="D1321" s="3928"/>
      <c r="E1321" s="2869" t="s">
        <v>486</v>
      </c>
      <c r="F1321" s="2870">
        <f>SUM(G1321:J1321)</f>
        <v>313588</v>
      </c>
      <c r="G1321" s="2870"/>
      <c r="H1321" s="2870"/>
      <c r="I1321" s="2870">
        <v>313588</v>
      </c>
      <c r="J1321" s="2871"/>
      <c r="K1321" s="2879"/>
      <c r="L1321" s="2879"/>
      <c r="M1321" s="2879"/>
      <c r="N1321" s="2879"/>
      <c r="O1321" s="2879"/>
    </row>
    <row r="1322" spans="1:15" s="2864" customFormat="1" ht="22.5">
      <c r="A1322" s="3911"/>
      <c r="B1322" s="3913"/>
      <c r="C1322" s="3925"/>
      <c r="D1322" s="3928"/>
      <c r="E1322" s="2880" t="s">
        <v>1311</v>
      </c>
      <c r="F1322" s="2881">
        <f>SUM(F1323:F1334)</f>
        <v>631666</v>
      </c>
      <c r="G1322" s="2881">
        <f t="shared" ref="G1322:J1322" si="154">SUM(G1323:G1334)</f>
        <v>0</v>
      </c>
      <c r="H1322" s="2881">
        <f t="shared" si="154"/>
        <v>532369</v>
      </c>
      <c r="I1322" s="2881">
        <f t="shared" si="154"/>
        <v>99297</v>
      </c>
      <c r="J1322" s="2882">
        <f t="shared" si="154"/>
        <v>0</v>
      </c>
      <c r="K1322" s="2879"/>
      <c r="L1322" s="2879"/>
      <c r="M1322" s="2879"/>
      <c r="N1322" s="2879"/>
      <c r="O1322" s="2879"/>
    </row>
    <row r="1323" spans="1:15" s="2864" customFormat="1" ht="15" customHeight="1">
      <c r="A1323" s="3911"/>
      <c r="B1323" s="3913"/>
      <c r="C1323" s="3925"/>
      <c r="D1323" s="3928"/>
      <c r="E1323" s="2869" t="s">
        <v>887</v>
      </c>
      <c r="F1323" s="2870">
        <f t="shared" ref="F1323:F1334" si="155">SUM(G1323:J1323)</f>
        <v>237788</v>
      </c>
      <c r="G1323" s="2870"/>
      <c r="H1323" s="2870">
        <v>237788</v>
      </c>
      <c r="I1323" s="2870"/>
      <c r="J1323" s="2871"/>
      <c r="K1323" s="2879"/>
      <c r="L1323" s="2879"/>
      <c r="M1323" s="2879"/>
      <c r="N1323" s="2879"/>
      <c r="O1323" s="2879"/>
    </row>
    <row r="1324" spans="1:15" s="2864" customFormat="1" ht="15" customHeight="1">
      <c r="A1324" s="3911"/>
      <c r="B1324" s="3913"/>
      <c r="C1324" s="3925"/>
      <c r="D1324" s="3928"/>
      <c r="E1324" s="2869" t="s">
        <v>829</v>
      </c>
      <c r="F1324" s="2870">
        <f t="shared" si="155"/>
        <v>44353</v>
      </c>
      <c r="G1324" s="2870"/>
      <c r="H1324" s="2870"/>
      <c r="I1324" s="2870">
        <v>44353</v>
      </c>
      <c r="J1324" s="2871"/>
    </row>
    <row r="1325" spans="1:15" s="2864" customFormat="1" ht="15" customHeight="1">
      <c r="A1325" s="3911"/>
      <c r="B1325" s="3913"/>
      <c r="C1325" s="3925"/>
      <c r="D1325" s="3928"/>
      <c r="E1325" s="2869" t="s">
        <v>888</v>
      </c>
      <c r="F1325" s="2870">
        <f t="shared" si="155"/>
        <v>15360</v>
      </c>
      <c r="G1325" s="2870"/>
      <c r="H1325" s="2870">
        <v>15360</v>
      </c>
      <c r="I1325" s="2870"/>
      <c r="J1325" s="2871"/>
    </row>
    <row r="1326" spans="1:15" s="2864" customFormat="1" ht="15" customHeight="1">
      <c r="A1326" s="3911"/>
      <c r="B1326" s="3913"/>
      <c r="C1326" s="3925"/>
      <c r="D1326" s="3928"/>
      <c r="E1326" s="2869" t="s">
        <v>831</v>
      </c>
      <c r="F1326" s="2870">
        <f t="shared" si="155"/>
        <v>2865</v>
      </c>
      <c r="G1326" s="2870"/>
      <c r="H1326" s="2870"/>
      <c r="I1326" s="2870">
        <v>2865</v>
      </c>
      <c r="J1326" s="2871"/>
    </row>
    <row r="1327" spans="1:15" s="2864" customFormat="1" ht="15" customHeight="1">
      <c r="A1327" s="3911"/>
      <c r="B1327" s="3913"/>
      <c r="C1327" s="3925"/>
      <c r="D1327" s="3928"/>
      <c r="E1327" s="2869" t="s">
        <v>889</v>
      </c>
      <c r="F1327" s="2870">
        <f t="shared" si="155"/>
        <v>43036</v>
      </c>
      <c r="G1327" s="2870"/>
      <c r="H1327" s="2870">
        <v>43036</v>
      </c>
      <c r="I1327" s="2870"/>
      <c r="J1327" s="2871"/>
      <c r="K1327" s="2865"/>
    </row>
    <row r="1328" spans="1:15" s="2864" customFormat="1" ht="15" customHeight="1">
      <c r="A1328" s="3911"/>
      <c r="B1328" s="3913"/>
      <c r="C1328" s="3925"/>
      <c r="D1328" s="3928"/>
      <c r="E1328" s="2869" t="s">
        <v>833</v>
      </c>
      <c r="F1328" s="2870">
        <f t="shared" si="155"/>
        <v>8027</v>
      </c>
      <c r="G1328" s="2870"/>
      <c r="H1328" s="2870"/>
      <c r="I1328" s="2870">
        <v>8027</v>
      </c>
      <c r="J1328" s="2871"/>
    </row>
    <row r="1329" spans="1:10" s="2864" customFormat="1" ht="15" customHeight="1">
      <c r="A1329" s="3911"/>
      <c r="B1329" s="3913"/>
      <c r="C1329" s="3925"/>
      <c r="D1329" s="3928"/>
      <c r="E1329" s="2869" t="s">
        <v>890</v>
      </c>
      <c r="F1329" s="2870">
        <f t="shared" si="155"/>
        <v>6203</v>
      </c>
      <c r="G1329" s="2870"/>
      <c r="H1329" s="2870">
        <v>6203</v>
      </c>
      <c r="I1329" s="2870"/>
      <c r="J1329" s="2871"/>
    </row>
    <row r="1330" spans="1:10" s="2864" customFormat="1" ht="15" customHeight="1">
      <c r="A1330" s="3911"/>
      <c r="B1330" s="3913"/>
      <c r="C1330" s="3925"/>
      <c r="D1330" s="3928"/>
      <c r="E1330" s="2869" t="s">
        <v>835</v>
      </c>
      <c r="F1330" s="2870">
        <f t="shared" si="155"/>
        <v>1157</v>
      </c>
      <c r="G1330" s="2870"/>
      <c r="H1330" s="2870"/>
      <c r="I1330" s="2870">
        <v>1157</v>
      </c>
      <c r="J1330" s="2871"/>
    </row>
    <row r="1331" spans="1:10" s="2864" customFormat="1" ht="15" customHeight="1">
      <c r="A1331" s="3911"/>
      <c r="B1331" s="3913"/>
      <c r="C1331" s="3925"/>
      <c r="D1331" s="3928"/>
      <c r="E1331" s="2869" t="s">
        <v>1003</v>
      </c>
      <c r="F1331" s="2870">
        <f t="shared" si="155"/>
        <v>227051</v>
      </c>
      <c r="G1331" s="2870"/>
      <c r="H1331" s="2870">
        <v>227051</v>
      </c>
      <c r="I1331" s="2870"/>
      <c r="J1331" s="2871"/>
    </row>
    <row r="1332" spans="1:10" s="2864" customFormat="1" ht="15" customHeight="1">
      <c r="A1332" s="3911"/>
      <c r="B1332" s="3913"/>
      <c r="C1332" s="3925"/>
      <c r="D1332" s="3928"/>
      <c r="E1332" s="2869" t="s">
        <v>837</v>
      </c>
      <c r="F1332" s="2870">
        <f t="shared" si="155"/>
        <v>42349</v>
      </c>
      <c r="G1332" s="2870"/>
      <c r="H1332" s="2870"/>
      <c r="I1332" s="2870">
        <v>42349</v>
      </c>
      <c r="J1332" s="2871"/>
    </row>
    <row r="1333" spans="1:10" s="2864" customFormat="1" ht="15" customHeight="1">
      <c r="A1333" s="3911"/>
      <c r="B1333" s="3913"/>
      <c r="C1333" s="3925"/>
      <c r="D1333" s="3928"/>
      <c r="E1333" s="2869" t="s">
        <v>896</v>
      </c>
      <c r="F1333" s="2870">
        <f t="shared" si="155"/>
        <v>2931</v>
      </c>
      <c r="G1333" s="2870"/>
      <c r="H1333" s="2870">
        <v>2931</v>
      </c>
      <c r="I1333" s="2870"/>
      <c r="J1333" s="2871"/>
    </row>
    <row r="1334" spans="1:10" s="2864" customFormat="1" ht="15" customHeight="1">
      <c r="A1334" s="3911"/>
      <c r="B1334" s="3913"/>
      <c r="C1334" s="3925"/>
      <c r="D1334" s="3928"/>
      <c r="E1334" s="2869" t="s">
        <v>856</v>
      </c>
      <c r="F1334" s="2870">
        <f t="shared" si="155"/>
        <v>546</v>
      </c>
      <c r="G1334" s="2870"/>
      <c r="H1334" s="2870"/>
      <c r="I1334" s="2870">
        <v>546</v>
      </c>
      <c r="J1334" s="2871"/>
    </row>
    <row r="1335" spans="1:10" s="2864" customFormat="1" ht="22.5">
      <c r="A1335" s="3911"/>
      <c r="B1335" s="3913"/>
      <c r="C1335" s="3925"/>
      <c r="D1335" s="3928"/>
      <c r="E1335" s="2880" t="s">
        <v>1312</v>
      </c>
      <c r="F1335" s="2881">
        <f>SUM(F1336:F1359)</f>
        <v>655846</v>
      </c>
      <c r="G1335" s="2881">
        <f>SUM(G1336:G1359)</f>
        <v>0</v>
      </c>
      <c r="H1335" s="2881">
        <f>SUM(H1336:H1359)</f>
        <v>552746</v>
      </c>
      <c r="I1335" s="2881">
        <f>SUM(I1336:I1359)</f>
        <v>103100</v>
      </c>
      <c r="J1335" s="2882">
        <f>SUM(J1336:J1359)</f>
        <v>0</v>
      </c>
    </row>
    <row r="1336" spans="1:10" s="2864" customFormat="1" ht="15" customHeight="1">
      <c r="A1336" s="3911"/>
      <c r="B1336" s="3913"/>
      <c r="C1336" s="3925"/>
      <c r="D1336" s="3928"/>
      <c r="E1336" s="2869" t="s">
        <v>891</v>
      </c>
      <c r="F1336" s="2870">
        <f t="shared" ref="F1336:F1359" si="156">SUM(G1336:J1336)</f>
        <v>15171</v>
      </c>
      <c r="G1336" s="2870"/>
      <c r="H1336" s="2870">
        <v>15171</v>
      </c>
      <c r="I1336" s="2870"/>
      <c r="J1336" s="2871"/>
    </row>
    <row r="1337" spans="1:10" s="2864" customFormat="1" ht="15" customHeight="1">
      <c r="A1337" s="3911"/>
      <c r="B1337" s="3913"/>
      <c r="C1337" s="3925"/>
      <c r="D1337" s="3928"/>
      <c r="E1337" s="2869" t="s">
        <v>842</v>
      </c>
      <c r="F1337" s="2870">
        <f t="shared" si="156"/>
        <v>2830</v>
      </c>
      <c r="G1337" s="2870"/>
      <c r="H1337" s="2870"/>
      <c r="I1337" s="2870">
        <v>2830</v>
      </c>
      <c r="J1337" s="2871"/>
    </row>
    <row r="1338" spans="1:10" s="2864" customFormat="1" ht="15" hidden="1" customHeight="1">
      <c r="A1338" s="3911"/>
      <c r="B1338" s="3913"/>
      <c r="C1338" s="3925"/>
      <c r="D1338" s="3928"/>
      <c r="E1338" s="2869" t="s">
        <v>1126</v>
      </c>
      <c r="F1338" s="2870">
        <f t="shared" si="156"/>
        <v>0</v>
      </c>
      <c r="G1338" s="2870"/>
      <c r="H1338" s="2870"/>
      <c r="I1338" s="2870"/>
      <c r="J1338" s="2871"/>
    </row>
    <row r="1339" spans="1:10" s="2864" customFormat="1" ht="15" hidden="1" customHeight="1">
      <c r="A1339" s="3911"/>
      <c r="B1339" s="3913"/>
      <c r="C1339" s="3925"/>
      <c r="D1339" s="3928"/>
      <c r="E1339" s="2869" t="s">
        <v>1050</v>
      </c>
      <c r="F1339" s="2870">
        <f t="shared" si="156"/>
        <v>0</v>
      </c>
      <c r="G1339" s="2870"/>
      <c r="H1339" s="2870"/>
      <c r="I1339" s="2870"/>
      <c r="J1339" s="2871"/>
    </row>
    <row r="1340" spans="1:10" s="2864" customFormat="1" ht="15" hidden="1" customHeight="1">
      <c r="A1340" s="3911"/>
      <c r="B1340" s="3913"/>
      <c r="C1340" s="3925"/>
      <c r="D1340" s="3928"/>
      <c r="E1340" s="2869" t="s">
        <v>1051</v>
      </c>
      <c r="F1340" s="2870">
        <f t="shared" si="156"/>
        <v>0</v>
      </c>
      <c r="G1340" s="2870"/>
      <c r="H1340" s="2870"/>
      <c r="I1340" s="2870"/>
      <c r="J1340" s="2871"/>
    </row>
    <row r="1341" spans="1:10" s="2864" customFormat="1" ht="15" hidden="1" customHeight="1">
      <c r="A1341" s="3911"/>
      <c r="B1341" s="3913"/>
      <c r="C1341" s="3925"/>
      <c r="D1341" s="3928"/>
      <c r="E1341" s="2869" t="s">
        <v>1024</v>
      </c>
      <c r="F1341" s="2870">
        <f t="shared" si="156"/>
        <v>0</v>
      </c>
      <c r="G1341" s="2870"/>
      <c r="H1341" s="2870"/>
      <c r="I1341" s="2870"/>
      <c r="J1341" s="2871"/>
    </row>
    <row r="1342" spans="1:10" s="2864" customFormat="1" ht="15" hidden="1" customHeight="1">
      <c r="A1342" s="3911"/>
      <c r="B1342" s="3913"/>
      <c r="C1342" s="3925"/>
      <c r="D1342" s="3928"/>
      <c r="E1342" s="2869" t="s">
        <v>1183</v>
      </c>
      <c r="F1342" s="2870">
        <f t="shared" si="156"/>
        <v>0</v>
      </c>
      <c r="G1342" s="2870"/>
      <c r="H1342" s="2870"/>
      <c r="I1342" s="2870"/>
      <c r="J1342" s="2871"/>
    </row>
    <row r="1343" spans="1:10" s="2864" customFormat="1" ht="15" hidden="1" customHeight="1">
      <c r="A1343" s="3911"/>
      <c r="B1343" s="3913"/>
      <c r="C1343" s="3925"/>
      <c r="D1343" s="3928"/>
      <c r="E1343" s="2869" t="s">
        <v>1026</v>
      </c>
      <c r="F1343" s="2870">
        <f t="shared" si="156"/>
        <v>0</v>
      </c>
      <c r="G1343" s="2870"/>
      <c r="H1343" s="2870"/>
      <c r="I1343" s="2870"/>
      <c r="J1343" s="2871"/>
    </row>
    <row r="1344" spans="1:10" s="2864" customFormat="1" ht="15" customHeight="1">
      <c r="A1344" s="3911"/>
      <c r="B1344" s="3913"/>
      <c r="C1344" s="3925"/>
      <c r="D1344" s="3928"/>
      <c r="E1344" s="2869" t="s">
        <v>892</v>
      </c>
      <c r="F1344" s="2870">
        <f t="shared" si="156"/>
        <v>532350</v>
      </c>
      <c r="G1344" s="2870"/>
      <c r="H1344" s="2870">
        <v>532350</v>
      </c>
      <c r="I1344" s="2870"/>
      <c r="J1344" s="2871"/>
    </row>
    <row r="1345" spans="1:10" s="2864" customFormat="1" ht="15" customHeight="1">
      <c r="A1345" s="3911"/>
      <c r="B1345" s="3913"/>
      <c r="C1345" s="3925"/>
      <c r="D1345" s="3928"/>
      <c r="E1345" s="2869" t="s">
        <v>846</v>
      </c>
      <c r="F1345" s="2870">
        <f t="shared" si="156"/>
        <v>99295</v>
      </c>
      <c r="G1345" s="2870"/>
      <c r="H1345" s="2870"/>
      <c r="I1345" s="2870">
        <v>99295</v>
      </c>
      <c r="J1345" s="2871"/>
    </row>
    <row r="1346" spans="1:10" s="2864" customFormat="1" ht="15" hidden="1" customHeight="1">
      <c r="A1346" s="3911"/>
      <c r="B1346" s="3913"/>
      <c r="C1346" s="3925"/>
      <c r="D1346" s="3928"/>
      <c r="E1346" s="2869" t="s">
        <v>1052</v>
      </c>
      <c r="F1346" s="2870">
        <f t="shared" si="156"/>
        <v>0</v>
      </c>
      <c r="G1346" s="2870"/>
      <c r="H1346" s="2870"/>
      <c r="I1346" s="2870"/>
      <c r="J1346" s="2871"/>
    </row>
    <row r="1347" spans="1:10" s="2864" customFormat="1" ht="15" hidden="1" customHeight="1">
      <c r="A1347" s="3911"/>
      <c r="B1347" s="3913"/>
      <c r="C1347" s="3925"/>
      <c r="D1347" s="3928"/>
      <c r="E1347" s="2869" t="s">
        <v>1053</v>
      </c>
      <c r="F1347" s="2870">
        <f t="shared" si="156"/>
        <v>0</v>
      </c>
      <c r="G1347" s="2870"/>
      <c r="H1347" s="2870"/>
      <c r="I1347" s="2870"/>
      <c r="J1347" s="2871"/>
    </row>
    <row r="1348" spans="1:10" s="2864" customFormat="1" ht="15" hidden="1" customHeight="1">
      <c r="A1348" s="3911"/>
      <c r="B1348" s="3913"/>
      <c r="C1348" s="3925"/>
      <c r="D1348" s="3928"/>
      <c r="E1348" s="2869" t="s">
        <v>893</v>
      </c>
      <c r="F1348" s="2870">
        <f t="shared" si="156"/>
        <v>0</v>
      </c>
      <c r="G1348" s="2870"/>
      <c r="H1348" s="2870"/>
      <c r="I1348" s="2870"/>
      <c r="J1348" s="2871"/>
    </row>
    <row r="1349" spans="1:10" s="2864" customFormat="1" ht="15" hidden="1" customHeight="1">
      <c r="A1349" s="3911"/>
      <c r="B1349" s="3913"/>
      <c r="C1349" s="3925"/>
      <c r="D1349" s="3928"/>
      <c r="E1349" s="2869" t="s">
        <v>848</v>
      </c>
      <c r="F1349" s="2870">
        <f t="shared" si="156"/>
        <v>0</v>
      </c>
      <c r="G1349" s="2870"/>
      <c r="H1349" s="2870"/>
      <c r="I1349" s="2870"/>
      <c r="J1349" s="2871"/>
    </row>
    <row r="1350" spans="1:10" s="2864" customFormat="1" ht="15" hidden="1" customHeight="1">
      <c r="A1350" s="3911"/>
      <c r="B1350" s="3913"/>
      <c r="C1350" s="3925"/>
      <c r="D1350" s="3928"/>
      <c r="E1350" s="2869" t="s">
        <v>894</v>
      </c>
      <c r="F1350" s="2870">
        <f t="shared" si="156"/>
        <v>0</v>
      </c>
      <c r="G1350" s="2870"/>
      <c r="H1350" s="2870"/>
      <c r="I1350" s="2870"/>
      <c r="J1350" s="2871"/>
    </row>
    <row r="1351" spans="1:10" s="2864" customFormat="1" ht="15" hidden="1" customHeight="1">
      <c r="A1351" s="3911"/>
      <c r="B1351" s="3913"/>
      <c r="C1351" s="3925"/>
      <c r="D1351" s="3928"/>
      <c r="E1351" s="2869" t="s">
        <v>850</v>
      </c>
      <c r="F1351" s="2870">
        <f t="shared" si="156"/>
        <v>0</v>
      </c>
      <c r="G1351" s="2870"/>
      <c r="H1351" s="2870"/>
      <c r="I1351" s="2870"/>
      <c r="J1351" s="2871"/>
    </row>
    <row r="1352" spans="1:10" s="2864" customFormat="1" ht="15" customHeight="1">
      <c r="A1352" s="3911"/>
      <c r="B1352" s="3913"/>
      <c r="C1352" s="3925"/>
      <c r="D1352" s="3928"/>
      <c r="E1352" s="2869" t="s">
        <v>1185</v>
      </c>
      <c r="F1352" s="2870">
        <f t="shared" si="156"/>
        <v>5225</v>
      </c>
      <c r="G1352" s="2870"/>
      <c r="H1352" s="2870">
        <v>5225</v>
      </c>
      <c r="I1352" s="2870"/>
      <c r="J1352" s="2871"/>
    </row>
    <row r="1353" spans="1:10" s="2864" customFormat="1" ht="15" customHeight="1">
      <c r="A1353" s="3911"/>
      <c r="B1353" s="3913"/>
      <c r="C1353" s="3925"/>
      <c r="D1353" s="3928"/>
      <c r="E1353" s="2869" t="s">
        <v>1186</v>
      </c>
      <c r="F1353" s="2870">
        <f t="shared" si="156"/>
        <v>975</v>
      </c>
      <c r="G1353" s="2870"/>
      <c r="H1353" s="2870"/>
      <c r="I1353" s="2870">
        <v>975</v>
      </c>
      <c r="J1353" s="2871"/>
    </row>
    <row r="1354" spans="1:10" s="2864" customFormat="1" ht="15" hidden="1" customHeight="1">
      <c r="A1354" s="3911"/>
      <c r="B1354" s="3913"/>
      <c r="C1354" s="3925"/>
      <c r="D1354" s="3928"/>
      <c r="E1354" s="2869" t="s">
        <v>457</v>
      </c>
      <c r="F1354" s="2870">
        <f t="shared" si="156"/>
        <v>0</v>
      </c>
      <c r="G1354" s="2870"/>
      <c r="H1354" s="2870"/>
      <c r="I1354" s="2870"/>
      <c r="J1354" s="2871"/>
    </row>
    <row r="1355" spans="1:10" s="2864" customFormat="1" ht="15" hidden="1" customHeight="1">
      <c r="A1355" s="3911"/>
      <c r="B1355" s="3913"/>
      <c r="C1355" s="3925"/>
      <c r="D1355" s="3928"/>
      <c r="E1355" s="2869" t="s">
        <v>591</v>
      </c>
      <c r="F1355" s="2870">
        <f t="shared" si="156"/>
        <v>0</v>
      </c>
      <c r="G1355" s="2870"/>
      <c r="H1355" s="2870"/>
      <c r="I1355" s="2870"/>
      <c r="J1355" s="2871"/>
    </row>
    <row r="1356" spans="1:10" s="2864" customFormat="1" ht="15" hidden="1" customHeight="1">
      <c r="A1356" s="3911"/>
      <c r="B1356" s="3913"/>
      <c r="C1356" s="3925"/>
      <c r="D1356" s="3928"/>
      <c r="E1356" s="2869" t="s">
        <v>881</v>
      </c>
      <c r="F1356" s="2870">
        <f t="shared" si="156"/>
        <v>0</v>
      </c>
      <c r="G1356" s="2870"/>
      <c r="H1356" s="2870"/>
      <c r="I1356" s="2870"/>
      <c r="J1356" s="2871"/>
    </row>
    <row r="1357" spans="1:10" s="2864" customFormat="1" ht="15" hidden="1" customHeight="1">
      <c r="A1357" s="3911"/>
      <c r="B1357" s="3913"/>
      <c r="C1357" s="3925"/>
      <c r="D1357" s="3928"/>
      <c r="E1357" s="2869" t="s">
        <v>1032</v>
      </c>
      <c r="F1357" s="2870">
        <f t="shared" si="156"/>
        <v>0</v>
      </c>
      <c r="G1357" s="2870"/>
      <c r="H1357" s="2870"/>
      <c r="I1357" s="2870"/>
      <c r="J1357" s="2871"/>
    </row>
    <row r="1358" spans="1:10" s="2864" customFormat="1" ht="15" hidden="1" customHeight="1">
      <c r="A1358" s="3911"/>
      <c r="B1358" s="3913"/>
      <c r="C1358" s="3925"/>
      <c r="D1358" s="3928"/>
      <c r="E1358" s="2869" t="s">
        <v>895</v>
      </c>
      <c r="F1358" s="2870">
        <f t="shared" si="156"/>
        <v>0</v>
      </c>
      <c r="G1358" s="2870"/>
      <c r="H1358" s="2870"/>
      <c r="I1358" s="2870"/>
      <c r="J1358" s="2871"/>
    </row>
    <row r="1359" spans="1:10" s="2864" customFormat="1" ht="15" hidden="1" customHeight="1">
      <c r="A1359" s="3911"/>
      <c r="B1359" s="3913"/>
      <c r="C1359" s="3925"/>
      <c r="D1359" s="3928"/>
      <c r="E1359" s="2869" t="s">
        <v>854</v>
      </c>
      <c r="F1359" s="2870">
        <f t="shared" si="156"/>
        <v>0</v>
      </c>
      <c r="G1359" s="2870"/>
      <c r="H1359" s="2870"/>
      <c r="I1359" s="2870"/>
      <c r="J1359" s="2871"/>
    </row>
    <row r="1360" spans="1:10" s="2948" customFormat="1" ht="15" customHeight="1">
      <c r="A1360" s="3920"/>
      <c r="B1360" s="3937"/>
      <c r="C1360" s="3926"/>
      <c r="D1360" s="3929"/>
      <c r="E1360" s="2872" t="s">
        <v>1305</v>
      </c>
      <c r="F1360" s="2867">
        <f>SUM(F1361:F1362)</f>
        <v>0</v>
      </c>
      <c r="G1360" s="2867">
        <f>SUM(G1361:G1362)</f>
        <v>0</v>
      </c>
      <c r="H1360" s="2867">
        <f>SUM(H1361:H1362)</f>
        <v>0</v>
      </c>
      <c r="I1360" s="2867">
        <f>SUM(I1361:I1362)</f>
        <v>0</v>
      </c>
      <c r="J1360" s="2868">
        <f>SUM(J1361:J1362)</f>
        <v>0</v>
      </c>
    </row>
    <row r="1361" spans="1:11" s="2948" customFormat="1" ht="15" hidden="1" customHeight="1">
      <c r="A1361" s="2891"/>
      <c r="B1361" s="2910"/>
      <c r="C1361" s="2893"/>
      <c r="D1361" s="2894"/>
      <c r="E1361" s="2895"/>
      <c r="F1361" s="2896">
        <f>SUM(G1361:J1361)</f>
        <v>0</v>
      </c>
      <c r="G1361" s="2896"/>
      <c r="H1361" s="2896"/>
      <c r="I1361" s="2896"/>
      <c r="J1361" s="2897"/>
    </row>
    <row r="1362" spans="1:11" s="243" customFormat="1" ht="15" hidden="1" customHeight="1">
      <c r="A1362" s="2891"/>
      <c r="B1362" s="2910"/>
      <c r="C1362" s="2893"/>
      <c r="D1362" s="2894"/>
      <c r="E1362" s="2916"/>
      <c r="F1362" s="2896">
        <f>SUM(G1362:J1362)</f>
        <v>0</v>
      </c>
      <c r="G1362" s="2896"/>
      <c r="H1362" s="2896"/>
      <c r="I1362" s="2896"/>
      <c r="J1362" s="2897"/>
    </row>
    <row r="1363" spans="1:11" s="2864" customFormat="1" ht="22.5">
      <c r="A1363" s="3910" t="s">
        <v>1313</v>
      </c>
      <c r="B1363" s="3912" t="s">
        <v>1416</v>
      </c>
      <c r="C1363" s="3924">
        <v>852</v>
      </c>
      <c r="D1363" s="3927" t="s">
        <v>1180</v>
      </c>
      <c r="E1363" s="2861" t="s">
        <v>1304</v>
      </c>
      <c r="F1363" s="2862">
        <f>SUM(F1364,F1388)</f>
        <v>18421</v>
      </c>
      <c r="G1363" s="2862">
        <f>SUM(G1364,G1388)</f>
        <v>553</v>
      </c>
      <c r="H1363" s="2862">
        <f>SUM(H1364,H1388)</f>
        <v>15525</v>
      </c>
      <c r="I1363" s="2862">
        <f>SUM(I1364,I1388)</f>
        <v>2343</v>
      </c>
      <c r="J1363" s="2863">
        <f>SUM(J1364,J1388)</f>
        <v>0</v>
      </c>
    </row>
    <row r="1364" spans="1:11" s="2864" customFormat="1" ht="21">
      <c r="A1364" s="3911"/>
      <c r="B1364" s="3913"/>
      <c r="C1364" s="3925"/>
      <c r="D1364" s="3928"/>
      <c r="E1364" s="2866" t="s">
        <v>1310</v>
      </c>
      <c r="F1364" s="2867">
        <f>SUM(F1365,F1368,F1379)</f>
        <v>18421</v>
      </c>
      <c r="G1364" s="2867">
        <f>SUM(G1365,G1368,G1379)</f>
        <v>553</v>
      </c>
      <c r="H1364" s="2867">
        <f>SUM(H1365,H1368,H1379)</f>
        <v>15525</v>
      </c>
      <c r="I1364" s="2867">
        <f>SUM(I1365,I1368,I1379)</f>
        <v>2343</v>
      </c>
      <c r="J1364" s="2868">
        <f>SUM(J1365,J1368,J1379)</f>
        <v>0</v>
      </c>
    </row>
    <row r="1365" spans="1:11" s="2864" customFormat="1" ht="15" hidden="1" customHeight="1">
      <c r="A1365" s="3911"/>
      <c r="B1365" s="3913"/>
      <c r="C1365" s="3925"/>
      <c r="D1365" s="3928"/>
      <c r="E1365" s="2880" t="s">
        <v>1324</v>
      </c>
      <c r="F1365" s="2881">
        <f>SUM(F1366:F1367)</f>
        <v>0</v>
      </c>
      <c r="G1365" s="2881">
        <f t="shared" ref="G1365" si="157">SUM(G1366:G1367)</f>
        <v>0</v>
      </c>
      <c r="H1365" s="2881">
        <f>SUM(H1366:H1367)</f>
        <v>0</v>
      </c>
      <c r="I1365" s="2881">
        <f t="shared" ref="I1365:J1365" si="158">SUM(I1366:I1367)</f>
        <v>0</v>
      </c>
      <c r="J1365" s="2882">
        <f t="shared" si="158"/>
        <v>0</v>
      </c>
    </row>
    <row r="1366" spans="1:11" s="2864" customFormat="1" ht="15" hidden="1" customHeight="1">
      <c r="A1366" s="3911"/>
      <c r="B1366" s="3913"/>
      <c r="C1366" s="3925"/>
      <c r="D1366" s="3928"/>
      <c r="E1366" s="2869" t="s">
        <v>573</v>
      </c>
      <c r="F1366" s="2870">
        <f>SUM(G1366:J1366)</f>
        <v>0</v>
      </c>
      <c r="G1366" s="2870"/>
      <c r="H1366" s="2870"/>
      <c r="I1366" s="2870"/>
      <c r="J1366" s="2871"/>
    </row>
    <row r="1367" spans="1:11" s="2864" customFormat="1" ht="15" hidden="1" customHeight="1">
      <c r="A1367" s="3911"/>
      <c r="B1367" s="3913"/>
      <c r="C1367" s="3925"/>
      <c r="D1367" s="3928"/>
      <c r="E1367" s="2869" t="s">
        <v>486</v>
      </c>
      <c r="F1367" s="2870">
        <f>SUM(G1367:J1367)</f>
        <v>0</v>
      </c>
      <c r="G1367" s="2870"/>
      <c r="H1367" s="2870"/>
      <c r="I1367" s="2870"/>
      <c r="J1367" s="2871"/>
    </row>
    <row r="1368" spans="1:11" s="2864" customFormat="1" ht="22.5">
      <c r="A1368" s="3911"/>
      <c r="B1368" s="3913"/>
      <c r="C1368" s="3925"/>
      <c r="D1368" s="3928"/>
      <c r="E1368" s="2880" t="s">
        <v>1311</v>
      </c>
      <c r="F1368" s="2881">
        <f>SUM(F1369:F1378)</f>
        <v>17090</v>
      </c>
      <c r="G1368" s="2881">
        <f>SUM(G1369:G1378)</f>
        <v>553</v>
      </c>
      <c r="H1368" s="2881">
        <f>SUM(H1369:H1378)</f>
        <v>14403</v>
      </c>
      <c r="I1368" s="2881">
        <f>SUM(I1369:I1378)</f>
        <v>2134</v>
      </c>
      <c r="J1368" s="2882">
        <f>SUM(J1369:J1378)</f>
        <v>0</v>
      </c>
      <c r="K1368" s="2865"/>
    </row>
    <row r="1369" spans="1:11" s="2864" customFormat="1" ht="15" customHeight="1">
      <c r="A1369" s="3911"/>
      <c r="B1369" s="3913"/>
      <c r="C1369" s="3925"/>
      <c r="D1369" s="3928"/>
      <c r="E1369" s="2869" t="s">
        <v>887</v>
      </c>
      <c r="F1369" s="2870">
        <f t="shared" ref="F1369:F1378" si="159">SUM(G1369:J1369)</f>
        <v>8279</v>
      </c>
      <c r="G1369" s="2870"/>
      <c r="H1369" s="2870">
        <v>8279</v>
      </c>
      <c r="I1369" s="2870"/>
      <c r="J1369" s="2871"/>
      <c r="K1369" s="2865"/>
    </row>
    <row r="1370" spans="1:11" s="2864" customFormat="1" ht="15" customHeight="1">
      <c r="A1370" s="3911"/>
      <c r="B1370" s="3913"/>
      <c r="C1370" s="3925"/>
      <c r="D1370" s="3928"/>
      <c r="E1370" s="2869" t="s">
        <v>829</v>
      </c>
      <c r="F1370" s="2870">
        <f t="shared" si="159"/>
        <v>1544</v>
      </c>
      <c r="G1370" s="2870">
        <v>553</v>
      </c>
      <c r="H1370" s="2870"/>
      <c r="I1370" s="2870">
        <v>991</v>
      </c>
      <c r="J1370" s="2871"/>
    </row>
    <row r="1371" spans="1:11" s="2864" customFormat="1" ht="15" customHeight="1">
      <c r="A1371" s="3911"/>
      <c r="B1371" s="3913"/>
      <c r="C1371" s="3925"/>
      <c r="D1371" s="3928"/>
      <c r="E1371" s="2869" t="s">
        <v>888</v>
      </c>
      <c r="F1371" s="2870">
        <f t="shared" si="159"/>
        <v>3623</v>
      </c>
      <c r="G1371" s="2870"/>
      <c r="H1371" s="2870">
        <v>3623</v>
      </c>
      <c r="I1371" s="2870"/>
      <c r="J1371" s="2871"/>
    </row>
    <row r="1372" spans="1:11" s="2864" customFormat="1" ht="15" customHeight="1">
      <c r="A1372" s="3911"/>
      <c r="B1372" s="3913"/>
      <c r="C1372" s="3925"/>
      <c r="D1372" s="3928"/>
      <c r="E1372" s="2869" t="s">
        <v>831</v>
      </c>
      <c r="F1372" s="2870">
        <f t="shared" si="159"/>
        <v>676</v>
      </c>
      <c r="G1372" s="2870"/>
      <c r="H1372" s="2870"/>
      <c r="I1372" s="2870">
        <v>676</v>
      </c>
      <c r="J1372" s="2871"/>
    </row>
    <row r="1373" spans="1:11" s="2864" customFormat="1" ht="15" customHeight="1">
      <c r="A1373" s="3911"/>
      <c r="B1373" s="3913"/>
      <c r="C1373" s="3925"/>
      <c r="D1373" s="3928"/>
      <c r="E1373" s="2869" t="s">
        <v>889</v>
      </c>
      <c r="F1373" s="2870">
        <f t="shared" si="159"/>
        <v>2023</v>
      </c>
      <c r="G1373" s="2870"/>
      <c r="H1373" s="2870">
        <v>2023</v>
      </c>
      <c r="I1373" s="2870"/>
      <c r="J1373" s="2871"/>
      <c r="K1373" s="2865"/>
    </row>
    <row r="1374" spans="1:11" s="2864" customFormat="1" ht="15" customHeight="1">
      <c r="A1374" s="3911"/>
      <c r="B1374" s="3913"/>
      <c r="C1374" s="3925"/>
      <c r="D1374" s="3928"/>
      <c r="E1374" s="2869" t="s">
        <v>833</v>
      </c>
      <c r="F1374" s="2870">
        <f t="shared" si="159"/>
        <v>377</v>
      </c>
      <c r="G1374" s="2870"/>
      <c r="H1374" s="2870"/>
      <c r="I1374" s="2870">
        <v>377</v>
      </c>
      <c r="J1374" s="2871"/>
    </row>
    <row r="1375" spans="1:11" s="2864" customFormat="1" ht="15" customHeight="1">
      <c r="A1375" s="3911"/>
      <c r="B1375" s="3913"/>
      <c r="C1375" s="3925"/>
      <c r="D1375" s="3928"/>
      <c r="E1375" s="2869" t="s">
        <v>890</v>
      </c>
      <c r="F1375" s="2870">
        <f t="shared" si="159"/>
        <v>292</v>
      </c>
      <c r="G1375" s="2870"/>
      <c r="H1375" s="2870">
        <v>292</v>
      </c>
      <c r="I1375" s="2870"/>
      <c r="J1375" s="2871"/>
    </row>
    <row r="1376" spans="1:11" s="2864" customFormat="1" ht="15" customHeight="1">
      <c r="A1376" s="3911"/>
      <c r="B1376" s="3913"/>
      <c r="C1376" s="3925"/>
      <c r="D1376" s="3928"/>
      <c r="E1376" s="2869" t="s">
        <v>835</v>
      </c>
      <c r="F1376" s="2870">
        <f t="shared" si="159"/>
        <v>55</v>
      </c>
      <c r="G1376" s="2870"/>
      <c r="H1376" s="2870"/>
      <c r="I1376" s="2870">
        <v>55</v>
      </c>
      <c r="J1376" s="2871"/>
    </row>
    <row r="1377" spans="1:10" s="2864" customFormat="1" ht="15" customHeight="1">
      <c r="A1377" s="3911"/>
      <c r="B1377" s="3913"/>
      <c r="C1377" s="3925"/>
      <c r="D1377" s="3928"/>
      <c r="E1377" s="2869" t="s">
        <v>896</v>
      </c>
      <c r="F1377" s="2870">
        <f t="shared" si="159"/>
        <v>186</v>
      </c>
      <c r="G1377" s="2870"/>
      <c r="H1377" s="2870">
        <v>186</v>
      </c>
      <c r="I1377" s="2870"/>
      <c r="J1377" s="2871"/>
    </row>
    <row r="1378" spans="1:10" s="2864" customFormat="1" ht="15" customHeight="1">
      <c r="A1378" s="3911"/>
      <c r="B1378" s="3913"/>
      <c r="C1378" s="3925"/>
      <c r="D1378" s="3928"/>
      <c r="E1378" s="2869" t="s">
        <v>856</v>
      </c>
      <c r="F1378" s="2870">
        <f t="shared" si="159"/>
        <v>35</v>
      </c>
      <c r="G1378" s="2870"/>
      <c r="H1378" s="2870"/>
      <c r="I1378" s="2870">
        <v>35</v>
      </c>
      <c r="J1378" s="2871"/>
    </row>
    <row r="1379" spans="1:10" s="2864" customFormat="1" ht="22.5">
      <c r="A1379" s="3911"/>
      <c r="B1379" s="3913"/>
      <c r="C1379" s="3925"/>
      <c r="D1379" s="3928"/>
      <c r="E1379" s="2880" t="s">
        <v>1312</v>
      </c>
      <c r="F1379" s="2881">
        <f>SUM(F1380:F1387)</f>
        <v>1331</v>
      </c>
      <c r="G1379" s="2881">
        <f>SUM(G1380:G1387)</f>
        <v>0</v>
      </c>
      <c r="H1379" s="2881">
        <f>SUM(H1380:H1387)</f>
        <v>1122</v>
      </c>
      <c r="I1379" s="2881">
        <f>SUM(I1380:I1387)</f>
        <v>209</v>
      </c>
      <c r="J1379" s="2882">
        <f>SUM(J1380:J1387)</f>
        <v>0</v>
      </c>
    </row>
    <row r="1380" spans="1:10" s="2864" customFormat="1" ht="15" hidden="1" customHeight="1">
      <c r="A1380" s="3911"/>
      <c r="B1380" s="3913"/>
      <c r="C1380" s="3925"/>
      <c r="D1380" s="3928"/>
      <c r="E1380" s="2869" t="s">
        <v>891</v>
      </c>
      <c r="F1380" s="2870">
        <f t="shared" ref="F1380:F1387" si="160">SUM(G1380:J1380)</f>
        <v>0</v>
      </c>
      <c r="G1380" s="2870"/>
      <c r="H1380" s="2870"/>
      <c r="I1380" s="2870"/>
      <c r="J1380" s="2871"/>
    </row>
    <row r="1381" spans="1:10" s="2864" customFormat="1" ht="15" hidden="1" customHeight="1">
      <c r="A1381" s="3911"/>
      <c r="B1381" s="3913"/>
      <c r="C1381" s="3925"/>
      <c r="D1381" s="3928"/>
      <c r="E1381" s="2869" t="s">
        <v>842</v>
      </c>
      <c r="F1381" s="2870">
        <f t="shared" si="160"/>
        <v>0</v>
      </c>
      <c r="G1381" s="2870"/>
      <c r="H1381" s="2870"/>
      <c r="I1381" s="2870"/>
      <c r="J1381" s="2871"/>
    </row>
    <row r="1382" spans="1:10" s="2864" customFormat="1" ht="15" customHeight="1">
      <c r="A1382" s="3911"/>
      <c r="B1382" s="3913"/>
      <c r="C1382" s="3925"/>
      <c r="D1382" s="3928"/>
      <c r="E1382" s="2869" t="s">
        <v>892</v>
      </c>
      <c r="F1382" s="2870">
        <f t="shared" si="160"/>
        <v>1012</v>
      </c>
      <c r="G1382" s="2870"/>
      <c r="H1382" s="2870">
        <v>1012</v>
      </c>
      <c r="I1382" s="2870"/>
      <c r="J1382" s="2871"/>
    </row>
    <row r="1383" spans="1:10" s="2864" customFormat="1" ht="15" customHeight="1">
      <c r="A1383" s="3911"/>
      <c r="B1383" s="3913"/>
      <c r="C1383" s="3925"/>
      <c r="D1383" s="3928"/>
      <c r="E1383" s="2869" t="s">
        <v>846</v>
      </c>
      <c r="F1383" s="2870">
        <f t="shared" si="160"/>
        <v>189</v>
      </c>
      <c r="G1383" s="2870"/>
      <c r="H1383" s="2870"/>
      <c r="I1383" s="2870">
        <v>189</v>
      </c>
      <c r="J1383" s="2871"/>
    </row>
    <row r="1384" spans="1:10" s="2864" customFormat="1" ht="15" customHeight="1">
      <c r="A1384" s="3911"/>
      <c r="B1384" s="3913"/>
      <c r="C1384" s="3925"/>
      <c r="D1384" s="3928"/>
      <c r="E1384" s="2869" t="s">
        <v>1185</v>
      </c>
      <c r="F1384" s="2870">
        <f t="shared" si="160"/>
        <v>110</v>
      </c>
      <c r="G1384" s="2870"/>
      <c r="H1384" s="2870">
        <v>110</v>
      </c>
      <c r="I1384" s="2870"/>
      <c r="J1384" s="2871"/>
    </row>
    <row r="1385" spans="1:10" s="2864" customFormat="1" ht="15" customHeight="1">
      <c r="A1385" s="3911"/>
      <c r="B1385" s="3913"/>
      <c r="C1385" s="3925"/>
      <c r="D1385" s="3928"/>
      <c r="E1385" s="2869" t="s">
        <v>1186</v>
      </c>
      <c r="F1385" s="2870">
        <f t="shared" si="160"/>
        <v>20</v>
      </c>
      <c r="G1385" s="2870"/>
      <c r="H1385" s="2870"/>
      <c r="I1385" s="2870">
        <v>20</v>
      </c>
      <c r="J1385" s="2871"/>
    </row>
    <row r="1386" spans="1:10" s="2864" customFormat="1" ht="15" hidden="1" customHeight="1">
      <c r="A1386" s="3911"/>
      <c r="B1386" s="3913"/>
      <c r="C1386" s="3925"/>
      <c r="D1386" s="3928"/>
      <c r="E1386" s="2869" t="s">
        <v>895</v>
      </c>
      <c r="F1386" s="2870">
        <f t="shared" si="160"/>
        <v>0</v>
      </c>
      <c r="G1386" s="2870"/>
      <c r="H1386" s="2870"/>
      <c r="I1386" s="2870"/>
      <c r="J1386" s="2871"/>
    </row>
    <row r="1387" spans="1:10" s="2864" customFormat="1" ht="15" hidden="1" customHeight="1">
      <c r="A1387" s="3911"/>
      <c r="B1387" s="3913"/>
      <c r="C1387" s="3925"/>
      <c r="D1387" s="3928"/>
      <c r="E1387" s="2869" t="s">
        <v>854</v>
      </c>
      <c r="F1387" s="2870">
        <f t="shared" si="160"/>
        <v>0</v>
      </c>
      <c r="G1387" s="2870"/>
      <c r="H1387" s="2870"/>
      <c r="I1387" s="2870"/>
      <c r="J1387" s="2871"/>
    </row>
    <row r="1388" spans="1:10" s="2948" customFormat="1" ht="15" customHeight="1">
      <c r="A1388" s="3920"/>
      <c r="B1388" s="3937"/>
      <c r="C1388" s="3926"/>
      <c r="D1388" s="3929"/>
      <c r="E1388" s="2872" t="s">
        <v>1305</v>
      </c>
      <c r="F1388" s="2867">
        <f>SUM(F1389:F1390)</f>
        <v>0</v>
      </c>
      <c r="G1388" s="2867">
        <f>SUM(G1389:G1390)</f>
        <v>0</v>
      </c>
      <c r="H1388" s="2867">
        <f>SUM(H1389:H1390)</f>
        <v>0</v>
      </c>
      <c r="I1388" s="2867">
        <f>SUM(I1389:I1390)</f>
        <v>0</v>
      </c>
      <c r="J1388" s="2868">
        <f>SUM(J1389:J1390)</f>
        <v>0</v>
      </c>
    </row>
    <row r="1389" spans="1:10" s="2948" customFormat="1" ht="15" hidden="1" customHeight="1">
      <c r="A1389" s="2891"/>
      <c r="B1389" s="2910"/>
      <c r="C1389" s="2893"/>
      <c r="D1389" s="2894"/>
      <c r="E1389" s="2895"/>
      <c r="F1389" s="2896">
        <f>SUM(G1389:J1389)</f>
        <v>0</v>
      </c>
      <c r="G1389" s="2896"/>
      <c r="H1389" s="2896"/>
      <c r="I1389" s="2896"/>
      <c r="J1389" s="2897"/>
    </row>
    <row r="1390" spans="1:10" s="243" customFormat="1" ht="15" hidden="1" customHeight="1">
      <c r="A1390" s="2891"/>
      <c r="B1390" s="2910"/>
      <c r="C1390" s="2893"/>
      <c r="D1390" s="2894"/>
      <c r="E1390" s="2916"/>
      <c r="F1390" s="2896">
        <f>SUM(G1390:J1390)</f>
        <v>0</v>
      </c>
      <c r="G1390" s="2896"/>
      <c r="H1390" s="2896"/>
      <c r="I1390" s="2896"/>
      <c r="J1390" s="2897"/>
    </row>
    <row r="1391" spans="1:10" s="2864" customFormat="1" ht="15" hidden="1" customHeight="1">
      <c r="A1391" s="3940" t="s">
        <v>1315</v>
      </c>
      <c r="B1391" s="3943" t="s">
        <v>1417</v>
      </c>
      <c r="C1391" s="3946">
        <v>852</v>
      </c>
      <c r="D1391" s="3949" t="s">
        <v>1180</v>
      </c>
      <c r="E1391" s="2898" t="s">
        <v>1304</v>
      </c>
      <c r="F1391" s="2899">
        <f>SUM(F1392,F1410)</f>
        <v>0</v>
      </c>
      <c r="G1391" s="2899">
        <f>SUM(G1392,G1410)</f>
        <v>0</v>
      </c>
      <c r="H1391" s="2899">
        <f>SUM(H1392,H1410)</f>
        <v>0</v>
      </c>
      <c r="I1391" s="2899">
        <f>SUM(I1392,I1410)</f>
        <v>0</v>
      </c>
      <c r="J1391" s="2900">
        <f>SUM(J1392,J1410)</f>
        <v>0</v>
      </c>
    </row>
    <row r="1392" spans="1:10" s="2864" customFormat="1" ht="15" hidden="1" customHeight="1">
      <c r="A1392" s="3941"/>
      <c r="B1392" s="3944"/>
      <c r="C1392" s="3947"/>
      <c r="D1392" s="3950"/>
      <c r="E1392" s="2901" t="s">
        <v>1310</v>
      </c>
      <c r="F1392" s="2902">
        <f>SUM(F1393,F1398,F1405)</f>
        <v>0</v>
      </c>
      <c r="G1392" s="2902">
        <f>SUM(G1393,G1398,G1405)</f>
        <v>0</v>
      </c>
      <c r="H1392" s="2902">
        <f>SUM(H1393,H1398,H1405)</f>
        <v>0</v>
      </c>
      <c r="I1392" s="2902">
        <f>SUM(I1393,I1398,I1405)</f>
        <v>0</v>
      </c>
      <c r="J1392" s="2903">
        <f>SUM(J1393,J1398,J1405)</f>
        <v>0</v>
      </c>
    </row>
    <row r="1393" spans="1:11" s="2864" customFormat="1" ht="15" hidden="1" customHeight="1">
      <c r="A1393" s="3941"/>
      <c r="B1393" s="3944"/>
      <c r="C1393" s="3947"/>
      <c r="D1393" s="3950"/>
      <c r="E1393" s="2904" t="s">
        <v>1324</v>
      </c>
      <c r="F1393" s="2905">
        <f>SUM(F1394:F1397)</f>
        <v>0</v>
      </c>
      <c r="G1393" s="2905">
        <f t="shared" ref="G1393" si="161">SUM(G1394:G1397)</f>
        <v>0</v>
      </c>
      <c r="H1393" s="2905">
        <f>SUM(H1394:H1397)</f>
        <v>0</v>
      </c>
      <c r="I1393" s="2905">
        <f t="shared" ref="I1393:J1393" si="162">SUM(I1394:I1397)</f>
        <v>0</v>
      </c>
      <c r="J1393" s="2906">
        <f t="shared" si="162"/>
        <v>0</v>
      </c>
    </row>
    <row r="1394" spans="1:11" s="2864" customFormat="1" ht="15" hidden="1" customHeight="1">
      <c r="A1394" s="3941"/>
      <c r="B1394" s="3944"/>
      <c r="C1394" s="3947"/>
      <c r="D1394" s="3950"/>
      <c r="E1394" s="2895" t="s">
        <v>637</v>
      </c>
      <c r="F1394" s="2896">
        <f>SUM(G1394:J1394)</f>
        <v>0</v>
      </c>
      <c r="G1394" s="2896"/>
      <c r="H1394" s="2896"/>
      <c r="I1394" s="2896"/>
      <c r="J1394" s="2897"/>
    </row>
    <row r="1395" spans="1:11" s="2864" customFormat="1" ht="15" hidden="1" customHeight="1">
      <c r="A1395" s="3941"/>
      <c r="B1395" s="3944"/>
      <c r="C1395" s="3947"/>
      <c r="D1395" s="3950"/>
      <c r="E1395" s="2895" t="s">
        <v>593</v>
      </c>
      <c r="F1395" s="2896">
        <f t="shared" ref="F1395:F1397" si="163">SUM(G1395:J1395)</f>
        <v>0</v>
      </c>
      <c r="G1395" s="2896"/>
      <c r="H1395" s="2896"/>
      <c r="I1395" s="2896"/>
      <c r="J1395" s="2897"/>
    </row>
    <row r="1396" spans="1:11" s="2864" customFormat="1" ht="15" hidden="1" customHeight="1">
      <c r="A1396" s="3941"/>
      <c r="B1396" s="3944"/>
      <c r="C1396" s="3947"/>
      <c r="D1396" s="3950"/>
      <c r="E1396" s="2895" t="s">
        <v>573</v>
      </c>
      <c r="F1396" s="2896">
        <f t="shared" si="163"/>
        <v>0</v>
      </c>
      <c r="G1396" s="2896"/>
      <c r="H1396" s="2896"/>
      <c r="I1396" s="2896"/>
      <c r="J1396" s="2897"/>
    </row>
    <row r="1397" spans="1:11" s="2864" customFormat="1" ht="15" hidden="1" customHeight="1">
      <c r="A1397" s="3941"/>
      <c r="B1397" s="3944"/>
      <c r="C1397" s="3947"/>
      <c r="D1397" s="3950"/>
      <c r="E1397" s="2895" t="s">
        <v>486</v>
      </c>
      <c r="F1397" s="2896">
        <f t="shared" si="163"/>
        <v>0</v>
      </c>
      <c r="G1397" s="2896"/>
      <c r="H1397" s="2896"/>
      <c r="I1397" s="2896"/>
      <c r="J1397" s="2897"/>
    </row>
    <row r="1398" spans="1:11" s="2864" customFormat="1" ht="15" hidden="1" customHeight="1">
      <c r="A1398" s="3941"/>
      <c r="B1398" s="3944"/>
      <c r="C1398" s="3947"/>
      <c r="D1398" s="3950"/>
      <c r="E1398" s="2904" t="s">
        <v>1311</v>
      </c>
      <c r="F1398" s="2905">
        <f>SUM(F1399:F1404)</f>
        <v>0</v>
      </c>
      <c r="G1398" s="2905">
        <f>SUM(G1399:G1404)</f>
        <v>0</v>
      </c>
      <c r="H1398" s="2905">
        <f>SUM(H1399:H1404)</f>
        <v>0</v>
      </c>
      <c r="I1398" s="2905">
        <f>SUM(I1399:I1404)</f>
        <v>0</v>
      </c>
      <c r="J1398" s="2906">
        <f>SUM(J1399:J1404)</f>
        <v>0</v>
      </c>
      <c r="K1398" s="2865"/>
    </row>
    <row r="1399" spans="1:11" s="2864" customFormat="1" ht="15" hidden="1" customHeight="1">
      <c r="A1399" s="3941"/>
      <c r="B1399" s="3944"/>
      <c r="C1399" s="3947"/>
      <c r="D1399" s="3950"/>
      <c r="E1399" s="2895" t="s">
        <v>887</v>
      </c>
      <c r="F1399" s="2896">
        <f t="shared" ref="F1399:F1404" si="164">SUM(G1399:J1399)</f>
        <v>0</v>
      </c>
      <c r="G1399" s="2896"/>
      <c r="H1399" s="2896"/>
      <c r="I1399" s="2896"/>
      <c r="J1399" s="2897"/>
      <c r="K1399" s="2865"/>
    </row>
    <row r="1400" spans="1:11" s="2864" customFormat="1" ht="15" hidden="1" customHeight="1">
      <c r="A1400" s="3941"/>
      <c r="B1400" s="3944"/>
      <c r="C1400" s="3947"/>
      <c r="D1400" s="3950"/>
      <c r="E1400" s="2895" t="s">
        <v>829</v>
      </c>
      <c r="F1400" s="2896">
        <f t="shared" si="164"/>
        <v>0</v>
      </c>
      <c r="G1400" s="2896"/>
      <c r="H1400" s="2896"/>
      <c r="I1400" s="2896"/>
      <c r="J1400" s="2897"/>
    </row>
    <row r="1401" spans="1:11" s="2864" customFormat="1" ht="15" hidden="1" customHeight="1">
      <c r="A1401" s="3941"/>
      <c r="B1401" s="3944"/>
      <c r="C1401" s="3947"/>
      <c r="D1401" s="3950"/>
      <c r="E1401" s="2895" t="s">
        <v>888</v>
      </c>
      <c r="F1401" s="2896">
        <f t="shared" si="164"/>
        <v>0</v>
      </c>
      <c r="G1401" s="2896"/>
      <c r="H1401" s="2896"/>
      <c r="I1401" s="2896"/>
      <c r="J1401" s="2897"/>
    </row>
    <row r="1402" spans="1:11" s="2864" customFormat="1" ht="15" hidden="1" customHeight="1">
      <c r="A1402" s="3941"/>
      <c r="B1402" s="3944"/>
      <c r="C1402" s="3947"/>
      <c r="D1402" s="3950"/>
      <c r="E1402" s="2895" t="s">
        <v>831</v>
      </c>
      <c r="F1402" s="2896">
        <f t="shared" si="164"/>
        <v>0</v>
      </c>
      <c r="G1402" s="2896"/>
      <c r="H1402" s="2896"/>
      <c r="I1402" s="2896"/>
      <c r="J1402" s="2897"/>
    </row>
    <row r="1403" spans="1:11" s="2864" customFormat="1" ht="15" hidden="1" customHeight="1">
      <c r="A1403" s="3941"/>
      <c r="B1403" s="3944"/>
      <c r="C1403" s="3947"/>
      <c r="D1403" s="3950"/>
      <c r="E1403" s="2895" t="s">
        <v>1003</v>
      </c>
      <c r="F1403" s="2896">
        <f t="shared" si="164"/>
        <v>0</v>
      </c>
      <c r="G1403" s="2896"/>
      <c r="H1403" s="2896"/>
      <c r="I1403" s="2896"/>
      <c r="J1403" s="2897"/>
    </row>
    <row r="1404" spans="1:11" s="2864" customFormat="1" ht="15" hidden="1" customHeight="1">
      <c r="A1404" s="3941"/>
      <c r="B1404" s="3944"/>
      <c r="C1404" s="3947"/>
      <c r="D1404" s="3950"/>
      <c r="E1404" s="2895" t="s">
        <v>837</v>
      </c>
      <c r="F1404" s="2896">
        <f t="shared" si="164"/>
        <v>0</v>
      </c>
      <c r="G1404" s="2896"/>
      <c r="H1404" s="2896"/>
      <c r="I1404" s="2896"/>
      <c r="J1404" s="2897"/>
    </row>
    <row r="1405" spans="1:11" s="2864" customFormat="1" ht="15" hidden="1" customHeight="1">
      <c r="A1405" s="3941"/>
      <c r="B1405" s="3944"/>
      <c r="C1405" s="3947"/>
      <c r="D1405" s="3950"/>
      <c r="E1405" s="2904" t="s">
        <v>1312</v>
      </c>
      <c r="F1405" s="2905">
        <f>SUM(F1406:F1409)</f>
        <v>0</v>
      </c>
      <c r="G1405" s="2905">
        <f>SUM(G1406:G1409)</f>
        <v>0</v>
      </c>
      <c r="H1405" s="2905">
        <f>SUM(H1406:H1409)</f>
        <v>0</v>
      </c>
      <c r="I1405" s="2905">
        <f>SUM(I1406:I1409)</f>
        <v>0</v>
      </c>
      <c r="J1405" s="2906">
        <f>SUM(J1406:J1409)</f>
        <v>0</v>
      </c>
    </row>
    <row r="1406" spans="1:11" s="2864" customFormat="1" ht="15" hidden="1" customHeight="1">
      <c r="A1406" s="3941"/>
      <c r="B1406" s="3944"/>
      <c r="C1406" s="3947"/>
      <c r="D1406" s="3950"/>
      <c r="E1406" s="2895" t="s">
        <v>891</v>
      </c>
      <c r="F1406" s="2896">
        <f t="shared" ref="F1406:F1409" si="165">SUM(G1406:J1406)</f>
        <v>0</v>
      </c>
      <c r="G1406" s="2896"/>
      <c r="H1406" s="2896"/>
      <c r="I1406" s="2896"/>
      <c r="J1406" s="2897"/>
    </row>
    <row r="1407" spans="1:11" s="2864" customFormat="1" ht="15" hidden="1" customHeight="1">
      <c r="A1407" s="3941"/>
      <c r="B1407" s="3944"/>
      <c r="C1407" s="3947"/>
      <c r="D1407" s="3950"/>
      <c r="E1407" s="2895" t="s">
        <v>842</v>
      </c>
      <c r="F1407" s="2896">
        <f t="shared" si="165"/>
        <v>0</v>
      </c>
      <c r="G1407" s="2896"/>
      <c r="H1407" s="2896"/>
      <c r="I1407" s="2896"/>
      <c r="J1407" s="2897"/>
    </row>
    <row r="1408" spans="1:11" s="2864" customFormat="1" ht="15" hidden="1" customHeight="1">
      <c r="A1408" s="3941"/>
      <c r="B1408" s="3944"/>
      <c r="C1408" s="3947"/>
      <c r="D1408" s="3950"/>
      <c r="E1408" s="2895" t="s">
        <v>895</v>
      </c>
      <c r="F1408" s="2896">
        <f t="shared" si="165"/>
        <v>0</v>
      </c>
      <c r="G1408" s="2896"/>
      <c r="H1408" s="2896"/>
      <c r="I1408" s="2896"/>
      <c r="J1408" s="2897"/>
    </row>
    <row r="1409" spans="1:10" s="2864" customFormat="1" ht="15" hidden="1" customHeight="1">
      <c r="A1409" s="3941"/>
      <c r="B1409" s="3944"/>
      <c r="C1409" s="3947"/>
      <c r="D1409" s="3950"/>
      <c r="E1409" s="2895" t="s">
        <v>854</v>
      </c>
      <c r="F1409" s="2896">
        <f t="shared" si="165"/>
        <v>0</v>
      </c>
      <c r="G1409" s="2896"/>
      <c r="H1409" s="2896"/>
      <c r="I1409" s="2896"/>
      <c r="J1409" s="2897"/>
    </row>
    <row r="1410" spans="1:10" s="2948" customFormat="1" ht="15" hidden="1" customHeight="1">
      <c r="A1410" s="3941"/>
      <c r="B1410" s="3944"/>
      <c r="C1410" s="3947"/>
      <c r="D1410" s="3950"/>
      <c r="E1410" s="2907" t="s">
        <v>1305</v>
      </c>
      <c r="F1410" s="2902">
        <f>SUM(F1411:F1414)</f>
        <v>0</v>
      </c>
      <c r="G1410" s="2902">
        <f>SUM(G1411:G1414)</f>
        <v>0</v>
      </c>
      <c r="H1410" s="2902">
        <f>SUM(H1411:H1414)</f>
        <v>0</v>
      </c>
      <c r="I1410" s="2902">
        <f>SUM(I1411:I1414)</f>
        <v>0</v>
      </c>
      <c r="J1410" s="2903">
        <f>SUM(J1411:J1414)</f>
        <v>0</v>
      </c>
    </row>
    <row r="1411" spans="1:10" s="2948" customFormat="1" ht="15" hidden="1" customHeight="1">
      <c r="A1411" s="3941"/>
      <c r="B1411" s="3944"/>
      <c r="C1411" s="3947"/>
      <c r="D1411" s="3950"/>
      <c r="E1411" s="2895" t="s">
        <v>898</v>
      </c>
      <c r="F1411" s="2896">
        <f>SUM(G1411:J1411)</f>
        <v>0</v>
      </c>
      <c r="G1411" s="2896"/>
      <c r="H1411" s="2896"/>
      <c r="I1411" s="2896"/>
      <c r="J1411" s="2897"/>
    </row>
    <row r="1412" spans="1:10" s="2948" customFormat="1" ht="15" hidden="1" customHeight="1">
      <c r="A1412" s="3941"/>
      <c r="B1412" s="3944"/>
      <c r="C1412" s="3947"/>
      <c r="D1412" s="3950"/>
      <c r="E1412" s="2895" t="s">
        <v>900</v>
      </c>
      <c r="F1412" s="2896">
        <f t="shared" ref="F1412:F1414" si="166">SUM(G1412:J1412)</f>
        <v>0</v>
      </c>
      <c r="G1412" s="2896"/>
      <c r="H1412" s="2896"/>
      <c r="I1412" s="2896"/>
      <c r="J1412" s="2897"/>
    </row>
    <row r="1413" spans="1:10" s="2948" customFormat="1" ht="15" hidden="1" customHeight="1">
      <c r="A1413" s="3941"/>
      <c r="B1413" s="3944"/>
      <c r="C1413" s="3947"/>
      <c r="D1413" s="3950"/>
      <c r="E1413" s="2895" t="s">
        <v>423</v>
      </c>
      <c r="F1413" s="2896">
        <f t="shared" si="166"/>
        <v>0</v>
      </c>
      <c r="G1413" s="2896"/>
      <c r="H1413" s="2896"/>
      <c r="I1413" s="2896"/>
      <c r="J1413" s="2897"/>
    </row>
    <row r="1414" spans="1:10" s="243" customFormat="1" ht="15" hidden="1" customHeight="1">
      <c r="A1414" s="3942"/>
      <c r="B1414" s="3945"/>
      <c r="C1414" s="3948"/>
      <c r="D1414" s="3951"/>
      <c r="E1414" s="2916">
        <v>6259</v>
      </c>
      <c r="F1414" s="2896">
        <f t="shared" si="166"/>
        <v>0</v>
      </c>
      <c r="G1414" s="2896"/>
      <c r="H1414" s="2896"/>
      <c r="I1414" s="2896"/>
      <c r="J1414" s="2897"/>
    </row>
    <row r="1415" spans="1:10" s="2864" customFormat="1" ht="22.5" customHeight="1">
      <c r="A1415" s="3910" t="s">
        <v>1315</v>
      </c>
      <c r="B1415" s="3912" t="s">
        <v>1406</v>
      </c>
      <c r="C1415" s="3927" t="s">
        <v>40</v>
      </c>
      <c r="D1415" s="3927" t="s">
        <v>1043</v>
      </c>
      <c r="E1415" s="2861" t="s">
        <v>1304</v>
      </c>
      <c r="F1415" s="2862">
        <f>SUM(F1416,F1433)</f>
        <v>2897</v>
      </c>
      <c r="G1415" s="2862">
        <f>SUM(G1416,G1433)</f>
        <v>289</v>
      </c>
      <c r="H1415" s="2862">
        <f>SUM(H1416,H1433)</f>
        <v>2216</v>
      </c>
      <c r="I1415" s="2862">
        <f>SUM(I1416,I1433)</f>
        <v>392</v>
      </c>
      <c r="J1415" s="2863">
        <f>SUM(J1416,J1433)</f>
        <v>0</v>
      </c>
    </row>
    <row r="1416" spans="1:10" s="2864" customFormat="1" ht="21">
      <c r="A1416" s="3911"/>
      <c r="B1416" s="3913"/>
      <c r="C1416" s="3928"/>
      <c r="D1416" s="3928"/>
      <c r="E1416" s="2866" t="s">
        <v>1310</v>
      </c>
      <c r="F1416" s="2867">
        <f>SUM(F1417,F1420,F1429)</f>
        <v>2897</v>
      </c>
      <c r="G1416" s="2867">
        <f>SUM(G1417,G1420,G1429)</f>
        <v>289</v>
      </c>
      <c r="H1416" s="2867">
        <f>SUM(H1417,H1420,H1429)</f>
        <v>2216</v>
      </c>
      <c r="I1416" s="2867">
        <f>SUM(I1417,I1420,I1429)</f>
        <v>392</v>
      </c>
      <c r="J1416" s="2868">
        <f>SUM(J1417,J1420,J1429)</f>
        <v>0</v>
      </c>
    </row>
    <row r="1417" spans="1:10" s="2864" customFormat="1" ht="15" hidden="1" customHeight="1">
      <c r="A1417" s="3911"/>
      <c r="B1417" s="3913"/>
      <c r="C1417" s="3928"/>
      <c r="D1417" s="3928"/>
      <c r="E1417" s="2880" t="s">
        <v>1377</v>
      </c>
      <c r="F1417" s="2881">
        <f>SUM(F1418:F1419)</f>
        <v>0</v>
      </c>
      <c r="G1417" s="2881">
        <f t="shared" ref="G1417:J1417" si="167">SUM(G1418:G1419)</f>
        <v>0</v>
      </c>
      <c r="H1417" s="2881">
        <f t="shared" si="167"/>
        <v>0</v>
      </c>
      <c r="I1417" s="2881">
        <f t="shared" si="167"/>
        <v>0</v>
      </c>
      <c r="J1417" s="2882">
        <f t="shared" si="167"/>
        <v>0</v>
      </c>
    </row>
    <row r="1418" spans="1:10" s="2864" customFormat="1" ht="15" hidden="1" customHeight="1">
      <c r="A1418" s="3911"/>
      <c r="B1418" s="3913"/>
      <c r="C1418" s="3928"/>
      <c r="D1418" s="3928"/>
      <c r="E1418" s="2869" t="s">
        <v>484</v>
      </c>
      <c r="F1418" s="2870">
        <f t="shared" ref="F1418:F1419" si="168">SUM(G1418:J1418)</f>
        <v>0</v>
      </c>
      <c r="G1418" s="2870"/>
      <c r="H1418" s="2870"/>
      <c r="I1418" s="2870"/>
      <c r="J1418" s="2871"/>
    </row>
    <row r="1419" spans="1:10" s="2864" customFormat="1" ht="15" hidden="1" customHeight="1">
      <c r="A1419" s="3911"/>
      <c r="B1419" s="3913"/>
      <c r="C1419" s="3928"/>
      <c r="D1419" s="3928"/>
      <c r="E1419" s="2869" t="s">
        <v>649</v>
      </c>
      <c r="F1419" s="2870">
        <f t="shared" si="168"/>
        <v>0</v>
      </c>
      <c r="G1419" s="2870"/>
      <c r="H1419" s="2870"/>
      <c r="I1419" s="2870"/>
      <c r="J1419" s="2871"/>
    </row>
    <row r="1420" spans="1:10" s="2864" customFormat="1" ht="22.5">
      <c r="A1420" s="3911"/>
      <c r="B1420" s="3913"/>
      <c r="C1420" s="3928"/>
      <c r="D1420" s="3928"/>
      <c r="E1420" s="2880" t="s">
        <v>1311</v>
      </c>
      <c r="F1420" s="2881">
        <f>SUM(F1421:F1428)</f>
        <v>2897</v>
      </c>
      <c r="G1420" s="2881">
        <f>SUM(G1421:G1428)</f>
        <v>289</v>
      </c>
      <c r="H1420" s="2881">
        <f t="shared" ref="H1420:J1420" si="169">SUM(H1421:H1428)</f>
        <v>2216</v>
      </c>
      <c r="I1420" s="2881">
        <f t="shared" si="169"/>
        <v>392</v>
      </c>
      <c r="J1420" s="2882">
        <f t="shared" si="169"/>
        <v>0</v>
      </c>
    </row>
    <row r="1421" spans="1:10" s="2864" customFormat="1" ht="15" customHeight="1">
      <c r="A1421" s="3911"/>
      <c r="B1421" s="3913"/>
      <c r="C1421" s="3928"/>
      <c r="D1421" s="3928"/>
      <c r="E1421" s="2869" t="s">
        <v>828</v>
      </c>
      <c r="F1421" s="2870">
        <f t="shared" ref="F1421:F1428" si="170">SUM(G1421:J1421)</f>
        <v>1832</v>
      </c>
      <c r="G1421" s="2870"/>
      <c r="H1421" s="2870">
        <v>1832</v>
      </c>
      <c r="I1421" s="2870"/>
      <c r="J1421" s="2871"/>
    </row>
    <row r="1422" spans="1:10" s="2864" customFormat="1" ht="15" customHeight="1">
      <c r="A1422" s="3911"/>
      <c r="B1422" s="3913"/>
      <c r="C1422" s="3928"/>
      <c r="D1422" s="3928"/>
      <c r="E1422" s="2869" t="s">
        <v>829</v>
      </c>
      <c r="F1422" s="2870">
        <f t="shared" si="170"/>
        <v>562</v>
      </c>
      <c r="G1422" s="2870">
        <v>239</v>
      </c>
      <c r="H1422" s="2870"/>
      <c r="I1422" s="2870">
        <v>323</v>
      </c>
      <c r="J1422" s="2871"/>
    </row>
    <row r="1423" spans="1:10" s="2864" customFormat="1" ht="15" customHeight="1">
      <c r="A1423" s="3911"/>
      <c r="B1423" s="3913"/>
      <c r="C1423" s="3928"/>
      <c r="D1423" s="3928"/>
      <c r="E1423" s="2869" t="s">
        <v>832</v>
      </c>
      <c r="F1423" s="2870">
        <f t="shared" si="170"/>
        <v>316</v>
      </c>
      <c r="G1423" s="2870"/>
      <c r="H1423" s="2870">
        <v>316</v>
      </c>
      <c r="I1423" s="2870"/>
      <c r="J1423" s="2871"/>
    </row>
    <row r="1424" spans="1:10" s="2864" customFormat="1" ht="15" customHeight="1">
      <c r="A1424" s="3911"/>
      <c r="B1424" s="3913"/>
      <c r="C1424" s="3928"/>
      <c r="D1424" s="3928"/>
      <c r="E1424" s="2869" t="s">
        <v>833</v>
      </c>
      <c r="F1424" s="2870">
        <f t="shared" si="170"/>
        <v>97</v>
      </c>
      <c r="G1424" s="2870">
        <v>41</v>
      </c>
      <c r="H1424" s="2870"/>
      <c r="I1424" s="2870">
        <v>56</v>
      </c>
      <c r="J1424" s="2871"/>
    </row>
    <row r="1425" spans="1:10" s="2864" customFormat="1" ht="15" customHeight="1">
      <c r="A1425" s="3911"/>
      <c r="B1425" s="3913"/>
      <c r="C1425" s="3928"/>
      <c r="D1425" s="3928"/>
      <c r="E1425" s="2869" t="s">
        <v>834</v>
      </c>
      <c r="F1425" s="2870">
        <f t="shared" si="170"/>
        <v>45</v>
      </c>
      <c r="G1425" s="2870"/>
      <c r="H1425" s="2870">
        <v>45</v>
      </c>
      <c r="I1425" s="2870"/>
      <c r="J1425" s="2871"/>
    </row>
    <row r="1426" spans="1:10" s="2864" customFormat="1" ht="15" customHeight="1">
      <c r="A1426" s="3911"/>
      <c r="B1426" s="3913"/>
      <c r="C1426" s="3928"/>
      <c r="D1426" s="3928"/>
      <c r="E1426" s="2869" t="s">
        <v>835</v>
      </c>
      <c r="F1426" s="2870">
        <f t="shared" si="170"/>
        <v>14</v>
      </c>
      <c r="G1426" s="2870">
        <v>6</v>
      </c>
      <c r="H1426" s="2870"/>
      <c r="I1426" s="2870">
        <v>8</v>
      </c>
      <c r="J1426" s="2871"/>
    </row>
    <row r="1427" spans="1:10" s="2864" customFormat="1" ht="15" customHeight="1">
      <c r="A1427" s="3911"/>
      <c r="B1427" s="3913"/>
      <c r="C1427" s="3928"/>
      <c r="D1427" s="3928"/>
      <c r="E1427" s="2869" t="s">
        <v>855</v>
      </c>
      <c r="F1427" s="2870">
        <f t="shared" si="170"/>
        <v>23</v>
      </c>
      <c r="G1427" s="2870"/>
      <c r="H1427" s="2870">
        <v>23</v>
      </c>
      <c r="I1427" s="2870"/>
      <c r="J1427" s="2871"/>
    </row>
    <row r="1428" spans="1:10" s="2864" customFormat="1" ht="15" customHeight="1">
      <c r="A1428" s="3911"/>
      <c r="B1428" s="3913"/>
      <c r="C1428" s="3928"/>
      <c r="D1428" s="3928"/>
      <c r="E1428" s="2869" t="s">
        <v>856</v>
      </c>
      <c r="F1428" s="2870">
        <f t="shared" si="170"/>
        <v>8</v>
      </c>
      <c r="G1428" s="2870">
        <v>3</v>
      </c>
      <c r="H1428" s="2870"/>
      <c r="I1428" s="2870">
        <v>5</v>
      </c>
      <c r="J1428" s="2871"/>
    </row>
    <row r="1429" spans="1:10" s="2864" customFormat="1" ht="15" hidden="1" customHeight="1">
      <c r="A1429" s="3911"/>
      <c r="B1429" s="3913"/>
      <c r="C1429" s="3928"/>
      <c r="D1429" s="3928"/>
      <c r="E1429" s="2880" t="s">
        <v>1312</v>
      </c>
      <c r="F1429" s="2881">
        <f>SUM(F1430:F1432)</f>
        <v>0</v>
      </c>
      <c r="G1429" s="2881">
        <f>SUM(G1430:G1432)</f>
        <v>0</v>
      </c>
      <c r="H1429" s="2881">
        <f>SUM(H1430:H1432)</f>
        <v>0</v>
      </c>
      <c r="I1429" s="2881">
        <f>SUM(I1430:I1432)</f>
        <v>0</v>
      </c>
      <c r="J1429" s="2882">
        <f>SUM(J1430:J1432)</f>
        <v>0</v>
      </c>
    </row>
    <row r="1430" spans="1:10" s="2864" customFormat="1" ht="15" hidden="1" customHeight="1">
      <c r="A1430" s="3911"/>
      <c r="B1430" s="3913"/>
      <c r="C1430" s="3928"/>
      <c r="D1430" s="3928"/>
      <c r="E1430" s="2869" t="s">
        <v>845</v>
      </c>
      <c r="F1430" s="2870">
        <f t="shared" ref="F1430:F1432" si="171">SUM(G1430:J1430)</f>
        <v>0</v>
      </c>
      <c r="G1430" s="2870"/>
      <c r="H1430" s="2870"/>
      <c r="I1430" s="2870"/>
      <c r="J1430" s="2871"/>
    </row>
    <row r="1431" spans="1:10" s="2864" customFormat="1" ht="15" hidden="1" customHeight="1">
      <c r="A1431" s="3911"/>
      <c r="B1431" s="3913"/>
      <c r="C1431" s="3928"/>
      <c r="D1431" s="3928"/>
      <c r="E1431" s="2869" t="s">
        <v>846</v>
      </c>
      <c r="F1431" s="2870">
        <f t="shared" si="171"/>
        <v>0</v>
      </c>
      <c r="G1431" s="2870"/>
      <c r="H1431" s="2870"/>
      <c r="I1431" s="2870"/>
      <c r="J1431" s="2871"/>
    </row>
    <row r="1432" spans="1:10" s="2864" customFormat="1" ht="15" hidden="1" customHeight="1">
      <c r="A1432" s="3911"/>
      <c r="B1432" s="3913"/>
      <c r="C1432" s="3928"/>
      <c r="D1432" s="3928"/>
      <c r="E1432" s="2869" t="s">
        <v>849</v>
      </c>
      <c r="F1432" s="2870">
        <f t="shared" si="171"/>
        <v>0</v>
      </c>
      <c r="G1432" s="2870"/>
      <c r="H1432" s="2870"/>
      <c r="I1432" s="2870"/>
      <c r="J1432" s="2871"/>
    </row>
    <row r="1433" spans="1:10" s="2864" customFormat="1" ht="15" customHeight="1">
      <c r="A1433" s="3920"/>
      <c r="B1433" s="3937"/>
      <c r="C1433" s="3929"/>
      <c r="D1433" s="3929"/>
      <c r="E1433" s="2872" t="s">
        <v>1305</v>
      </c>
      <c r="F1433" s="2867">
        <f>SUM(F1434:F1435)</f>
        <v>0</v>
      </c>
      <c r="G1433" s="2867">
        <f>SUM(G1434:G1435)</f>
        <v>0</v>
      </c>
      <c r="H1433" s="2867">
        <f>SUM(H1434:H1435)</f>
        <v>0</v>
      </c>
      <c r="I1433" s="2867">
        <f>SUM(I1434:I1435)</f>
        <v>0</v>
      </c>
      <c r="J1433" s="2868">
        <f>SUM(J1434:J1435)</f>
        <v>0</v>
      </c>
    </row>
    <row r="1434" spans="1:10" s="2864" customFormat="1" ht="15" hidden="1" customHeight="1">
      <c r="A1434" s="2917"/>
      <c r="B1434" s="2918"/>
      <c r="C1434" s="2919"/>
      <c r="D1434" s="2919"/>
      <c r="E1434" s="2869" t="s">
        <v>933</v>
      </c>
      <c r="F1434" s="2870">
        <f>SUM(G1434:J1434)</f>
        <v>0</v>
      </c>
      <c r="G1434" s="2870"/>
      <c r="H1434" s="2870"/>
      <c r="I1434" s="2870"/>
      <c r="J1434" s="2871"/>
    </row>
    <row r="1435" spans="1:10" s="2864" customFormat="1" ht="15" hidden="1" customHeight="1">
      <c r="A1435" s="2917"/>
      <c r="B1435" s="2918"/>
      <c r="C1435" s="2919"/>
      <c r="D1435" s="2919"/>
      <c r="E1435" s="2874">
        <v>6069</v>
      </c>
      <c r="F1435" s="2870">
        <f>SUM(G1435:J1435)</f>
        <v>0</v>
      </c>
      <c r="G1435" s="2870"/>
      <c r="H1435" s="2870"/>
      <c r="I1435" s="2870"/>
      <c r="J1435" s="2871"/>
    </row>
    <row r="1436" spans="1:10" s="204" customFormat="1" ht="24.95" customHeight="1">
      <c r="A1436" s="2858" t="s">
        <v>1418</v>
      </c>
      <c r="B1436" s="3930" t="s">
        <v>1419</v>
      </c>
      <c r="C1436" s="3930"/>
      <c r="D1436" s="3930"/>
      <c r="E1436" s="3930"/>
      <c r="F1436" s="2926">
        <f>F1438</f>
        <v>60085</v>
      </c>
      <c r="G1436" s="2926">
        <f t="shared" ref="G1436:J1436" si="172">G1438</f>
        <v>0</v>
      </c>
      <c r="H1436" s="2926">
        <f t="shared" si="172"/>
        <v>50850</v>
      </c>
      <c r="I1436" s="2926">
        <f t="shared" si="172"/>
        <v>9235</v>
      </c>
      <c r="J1436" s="2927">
        <f t="shared" si="172"/>
        <v>0</v>
      </c>
    </row>
    <row r="1437" spans="1:10" s="243" customFormat="1" ht="15" customHeight="1">
      <c r="A1437" s="3931"/>
      <c r="B1437" s="3932"/>
      <c r="C1437" s="3932"/>
      <c r="D1437" s="3932"/>
      <c r="E1437" s="3932"/>
      <c r="F1437" s="3932"/>
      <c r="G1437" s="3932"/>
      <c r="H1437" s="3932"/>
      <c r="I1437" s="3932"/>
      <c r="J1437" s="3933"/>
    </row>
    <row r="1438" spans="1:10" ht="22.5">
      <c r="A1438" s="3934" t="s">
        <v>1302</v>
      </c>
      <c r="B1438" s="3935" t="s">
        <v>1420</v>
      </c>
      <c r="C1438" s="3936">
        <v>801</v>
      </c>
      <c r="D1438" s="3939" t="s">
        <v>1122</v>
      </c>
      <c r="E1438" s="2861" t="s">
        <v>1304</v>
      </c>
      <c r="F1438" s="2862">
        <f>SUM(F1439,F1463)</f>
        <v>60085</v>
      </c>
      <c r="G1438" s="2862">
        <f>SUM(G1439,G1463)</f>
        <v>0</v>
      </c>
      <c r="H1438" s="2862">
        <f>SUM(H1439,H1463)</f>
        <v>50850</v>
      </c>
      <c r="I1438" s="2862">
        <f>SUM(I1439,I1463)</f>
        <v>9235</v>
      </c>
      <c r="J1438" s="2863">
        <f>SUM(J1439,J1463)</f>
        <v>0</v>
      </c>
    </row>
    <row r="1439" spans="1:10" ht="21">
      <c r="A1439" s="3934"/>
      <c r="B1439" s="3935"/>
      <c r="C1439" s="3936"/>
      <c r="D1439" s="3939"/>
      <c r="E1439" s="2866" t="s">
        <v>1310</v>
      </c>
      <c r="F1439" s="2867">
        <f>SUM(F1440,F1443,F1454)</f>
        <v>60085</v>
      </c>
      <c r="G1439" s="2867">
        <f>SUM(G1440,G1443,G1454)</f>
        <v>0</v>
      </c>
      <c r="H1439" s="2867">
        <f>SUM(H1440,H1443,H1454)</f>
        <v>50850</v>
      </c>
      <c r="I1439" s="2867">
        <f>SUM(I1440,I1443,I1454)</f>
        <v>9235</v>
      </c>
      <c r="J1439" s="2868">
        <f>SUM(J1440,J1443,J1454)</f>
        <v>0</v>
      </c>
    </row>
    <row r="1440" spans="1:10" ht="15" hidden="1" customHeight="1">
      <c r="A1440" s="3934"/>
      <c r="B1440" s="3935"/>
      <c r="C1440" s="3936"/>
      <c r="D1440" s="3939"/>
      <c r="E1440" s="2880" t="s">
        <v>1324</v>
      </c>
      <c r="F1440" s="2881">
        <f>SUM(F1441:F1442)</f>
        <v>0</v>
      </c>
      <c r="G1440" s="2881">
        <f>SUM(G1441:G1442)</f>
        <v>0</v>
      </c>
      <c r="H1440" s="2881">
        <f>SUM(H1441:H1442)</f>
        <v>0</v>
      </c>
      <c r="I1440" s="2881">
        <f>SUM(I1441:I1442)</f>
        <v>0</v>
      </c>
      <c r="J1440" s="2882">
        <f>SUM(J1441:J1442)</f>
        <v>0</v>
      </c>
    </row>
    <row r="1441" spans="1:17" ht="15" hidden="1" customHeight="1">
      <c r="A1441" s="3934"/>
      <c r="B1441" s="3935"/>
      <c r="C1441" s="3936"/>
      <c r="D1441" s="3939"/>
      <c r="E1441" s="2913" t="s">
        <v>573</v>
      </c>
      <c r="F1441" s="2870">
        <f>SUM(G1441:J1441)</f>
        <v>0</v>
      </c>
      <c r="G1441" s="2870"/>
      <c r="H1441" s="2870"/>
      <c r="I1441" s="2870"/>
      <c r="J1441" s="2871"/>
    </row>
    <row r="1442" spans="1:17" ht="15" hidden="1" customHeight="1">
      <c r="A1442" s="3934"/>
      <c r="B1442" s="3935"/>
      <c r="C1442" s="3936"/>
      <c r="D1442" s="3939"/>
      <c r="E1442" s="2913" t="s">
        <v>486</v>
      </c>
      <c r="F1442" s="2870">
        <f>SUM(G1442:J1442)</f>
        <v>0</v>
      </c>
      <c r="G1442" s="2870"/>
      <c r="H1442" s="2870"/>
      <c r="I1442" s="2870"/>
      <c r="J1442" s="2871"/>
    </row>
    <row r="1443" spans="1:17" ht="22.5">
      <c r="A1443" s="3934"/>
      <c r="B1443" s="3935"/>
      <c r="C1443" s="3936"/>
      <c r="D1443" s="3939"/>
      <c r="E1443" s="2880" t="s">
        <v>1311</v>
      </c>
      <c r="F1443" s="2881">
        <f>SUM(F1444:F1453)</f>
        <v>44400</v>
      </c>
      <c r="G1443" s="2881">
        <f t="shared" ref="G1443:J1443" si="173">SUM(G1444:G1453)</f>
        <v>0</v>
      </c>
      <c r="H1443" s="2881">
        <f t="shared" si="173"/>
        <v>37576</v>
      </c>
      <c r="I1443" s="2881">
        <f t="shared" si="173"/>
        <v>6824</v>
      </c>
      <c r="J1443" s="2882">
        <f t="shared" si="173"/>
        <v>0</v>
      </c>
    </row>
    <row r="1444" spans="1:17" ht="15" customHeight="1">
      <c r="A1444" s="3934"/>
      <c r="B1444" s="3935"/>
      <c r="C1444" s="3936"/>
      <c r="D1444" s="3939"/>
      <c r="E1444" s="2869" t="s">
        <v>887</v>
      </c>
      <c r="F1444" s="2870">
        <f t="shared" ref="F1444:F1453" si="174">SUM(G1444:J1444)</f>
        <v>27165</v>
      </c>
      <c r="G1444" s="2870"/>
      <c r="H1444" s="2870">
        <v>27165</v>
      </c>
      <c r="I1444" s="2870"/>
      <c r="J1444" s="2871"/>
    </row>
    <row r="1445" spans="1:17" ht="15" customHeight="1">
      <c r="A1445" s="3934"/>
      <c r="B1445" s="3935"/>
      <c r="C1445" s="3936"/>
      <c r="D1445" s="3939"/>
      <c r="E1445" s="2869" t="s">
        <v>829</v>
      </c>
      <c r="F1445" s="2870">
        <f t="shared" si="174"/>
        <v>4933</v>
      </c>
      <c r="G1445" s="2870"/>
      <c r="H1445" s="2870"/>
      <c r="I1445" s="2870">
        <v>4933</v>
      </c>
      <c r="J1445" s="2871"/>
    </row>
    <row r="1446" spans="1:17" ht="15" customHeight="1">
      <c r="A1446" s="3934"/>
      <c r="B1446" s="3935"/>
      <c r="C1446" s="3936"/>
      <c r="D1446" s="3939"/>
      <c r="E1446" s="2869" t="s">
        <v>889</v>
      </c>
      <c r="F1446" s="2870">
        <f t="shared" si="174"/>
        <v>4670</v>
      </c>
      <c r="G1446" s="2870"/>
      <c r="H1446" s="2870">
        <v>4670</v>
      </c>
      <c r="I1446" s="2870"/>
      <c r="J1446" s="2871"/>
    </row>
    <row r="1447" spans="1:17" ht="15" customHeight="1">
      <c r="A1447" s="3934"/>
      <c r="B1447" s="3935"/>
      <c r="C1447" s="3936"/>
      <c r="D1447" s="3939"/>
      <c r="E1447" s="2869" t="s">
        <v>833</v>
      </c>
      <c r="F1447" s="2870">
        <f t="shared" si="174"/>
        <v>848</v>
      </c>
      <c r="G1447" s="2870"/>
      <c r="H1447" s="2870"/>
      <c r="I1447" s="2870">
        <v>848</v>
      </c>
      <c r="J1447" s="2871"/>
    </row>
    <row r="1448" spans="1:17" ht="15" customHeight="1">
      <c r="A1448" s="3934"/>
      <c r="B1448" s="3935"/>
      <c r="C1448" s="3936"/>
      <c r="D1448" s="3939"/>
      <c r="E1448" s="2869" t="s">
        <v>890</v>
      </c>
      <c r="F1448" s="2870">
        <f t="shared" si="174"/>
        <v>665</v>
      </c>
      <c r="G1448" s="2870"/>
      <c r="H1448" s="2870">
        <v>665</v>
      </c>
      <c r="I1448" s="2870"/>
      <c r="J1448" s="2871"/>
    </row>
    <row r="1449" spans="1:17" ht="15" customHeight="1">
      <c r="A1449" s="3934"/>
      <c r="B1449" s="3935"/>
      <c r="C1449" s="3936"/>
      <c r="D1449" s="3939"/>
      <c r="E1449" s="2869" t="s">
        <v>835</v>
      </c>
      <c r="F1449" s="2870">
        <f t="shared" si="174"/>
        <v>121</v>
      </c>
      <c r="G1449" s="2870"/>
      <c r="H1449" s="2870"/>
      <c r="I1449" s="2870">
        <v>121</v>
      </c>
      <c r="J1449" s="2871"/>
    </row>
    <row r="1450" spans="1:17" ht="15" customHeight="1">
      <c r="A1450" s="3934"/>
      <c r="B1450" s="3935"/>
      <c r="C1450" s="3936"/>
      <c r="D1450" s="3939"/>
      <c r="E1450" s="2869" t="s">
        <v>1003</v>
      </c>
      <c r="F1450" s="2870">
        <f t="shared" si="174"/>
        <v>4668</v>
      </c>
      <c r="G1450" s="2870"/>
      <c r="H1450" s="2870">
        <v>4668</v>
      </c>
      <c r="I1450" s="2870"/>
      <c r="J1450" s="2871"/>
    </row>
    <row r="1451" spans="1:17" ht="15" customHeight="1">
      <c r="A1451" s="3934"/>
      <c r="B1451" s="3935"/>
      <c r="C1451" s="3936"/>
      <c r="D1451" s="3939"/>
      <c r="E1451" s="2869" t="s">
        <v>837</v>
      </c>
      <c r="F1451" s="2870">
        <f t="shared" si="174"/>
        <v>848</v>
      </c>
      <c r="G1451" s="2870"/>
      <c r="H1451" s="2870"/>
      <c r="I1451" s="2870">
        <v>848</v>
      </c>
      <c r="J1451" s="2871"/>
    </row>
    <row r="1452" spans="1:17" ht="15" customHeight="1">
      <c r="A1452" s="3934"/>
      <c r="B1452" s="3935"/>
      <c r="C1452" s="3936"/>
      <c r="D1452" s="3939"/>
      <c r="E1452" s="2869" t="s">
        <v>896</v>
      </c>
      <c r="F1452" s="2870">
        <f t="shared" si="174"/>
        <v>408</v>
      </c>
      <c r="G1452" s="2870"/>
      <c r="H1452" s="2870">
        <v>408</v>
      </c>
      <c r="I1452" s="2870"/>
      <c r="J1452" s="2871"/>
    </row>
    <row r="1453" spans="1:17" ht="15" customHeight="1">
      <c r="A1453" s="3934"/>
      <c r="B1453" s="3935"/>
      <c r="C1453" s="3936"/>
      <c r="D1453" s="3939"/>
      <c r="E1453" s="2869" t="s">
        <v>856</v>
      </c>
      <c r="F1453" s="2870">
        <f t="shared" si="174"/>
        <v>74</v>
      </c>
      <c r="G1453" s="2870"/>
      <c r="H1453" s="2870"/>
      <c r="I1453" s="2870">
        <v>74</v>
      </c>
      <c r="J1453" s="2871"/>
    </row>
    <row r="1454" spans="1:17" ht="22.5">
      <c r="A1454" s="3934"/>
      <c r="B1454" s="3935"/>
      <c r="C1454" s="3936"/>
      <c r="D1454" s="3939"/>
      <c r="E1454" s="2880" t="s">
        <v>1312</v>
      </c>
      <c r="F1454" s="2881">
        <f>SUM(F1455:F1462)</f>
        <v>15685</v>
      </c>
      <c r="G1454" s="2881">
        <f>SUM(G1455:G1462)</f>
        <v>0</v>
      </c>
      <c r="H1454" s="2881">
        <f>SUM(H1455:H1462)</f>
        <v>13274</v>
      </c>
      <c r="I1454" s="2881">
        <f>SUM(I1455:I1462)</f>
        <v>2411</v>
      </c>
      <c r="J1454" s="2882">
        <f>SUM(J1455:J1462)</f>
        <v>0</v>
      </c>
    </row>
    <row r="1455" spans="1:17" s="2879" customFormat="1" ht="15" customHeight="1">
      <c r="A1455" s="3934"/>
      <c r="B1455" s="3935"/>
      <c r="C1455" s="3936"/>
      <c r="D1455" s="3939"/>
      <c r="E1455" s="2913" t="s">
        <v>891</v>
      </c>
      <c r="F1455" s="2870">
        <f t="shared" ref="F1455:F1462" si="175">SUM(G1455:J1455)</f>
        <v>85</v>
      </c>
      <c r="G1455" s="2870"/>
      <c r="H1455" s="2870">
        <v>85</v>
      </c>
      <c r="I1455" s="2870"/>
      <c r="J1455" s="2871"/>
      <c r="K1455" s="2864"/>
      <c r="L1455" s="2864"/>
      <c r="M1455" s="2864"/>
      <c r="N1455" s="2864"/>
      <c r="O1455" s="2864"/>
      <c r="P1455" s="2864"/>
      <c r="Q1455" s="2864"/>
    </row>
    <row r="1456" spans="1:17" s="2879" customFormat="1" ht="15" customHeight="1">
      <c r="A1456" s="3934"/>
      <c r="B1456" s="3935"/>
      <c r="C1456" s="3936"/>
      <c r="D1456" s="3939"/>
      <c r="E1456" s="2913" t="s">
        <v>842</v>
      </c>
      <c r="F1456" s="2870">
        <f t="shared" si="175"/>
        <v>15</v>
      </c>
      <c r="G1456" s="2870"/>
      <c r="H1456" s="2870"/>
      <c r="I1456" s="2870">
        <v>15</v>
      </c>
      <c r="J1456" s="2871"/>
      <c r="K1456" s="2864"/>
      <c r="L1456" s="2864"/>
      <c r="M1456" s="2864"/>
      <c r="N1456" s="2864"/>
      <c r="O1456" s="2864"/>
      <c r="P1456" s="2864"/>
      <c r="Q1456" s="2864"/>
    </row>
    <row r="1457" spans="1:17" s="2879" customFormat="1" ht="15" customHeight="1">
      <c r="A1457" s="3934"/>
      <c r="B1457" s="3935"/>
      <c r="C1457" s="3936"/>
      <c r="D1457" s="3939"/>
      <c r="E1457" s="2913" t="s">
        <v>1126</v>
      </c>
      <c r="F1457" s="2870">
        <f t="shared" si="175"/>
        <v>11510</v>
      </c>
      <c r="G1457" s="2870"/>
      <c r="H1457" s="2870">
        <v>11510</v>
      </c>
      <c r="I1457" s="2870"/>
      <c r="J1457" s="2871"/>
      <c r="K1457" s="2864"/>
      <c r="L1457" s="2864"/>
      <c r="M1457" s="2864"/>
      <c r="N1457" s="2864"/>
      <c r="O1457" s="2864"/>
      <c r="P1457" s="2864"/>
      <c r="Q1457" s="2864"/>
    </row>
    <row r="1458" spans="1:17" s="2879" customFormat="1" ht="15" customHeight="1">
      <c r="A1458" s="3934"/>
      <c r="B1458" s="3935"/>
      <c r="C1458" s="3936"/>
      <c r="D1458" s="3939"/>
      <c r="E1458" s="2913" t="s">
        <v>1050</v>
      </c>
      <c r="F1458" s="2870">
        <f t="shared" si="175"/>
        <v>2090</v>
      </c>
      <c r="G1458" s="2870"/>
      <c r="H1458" s="2870"/>
      <c r="I1458" s="2870">
        <v>2090</v>
      </c>
      <c r="J1458" s="2871"/>
      <c r="K1458" s="2864"/>
      <c r="L1458" s="2864"/>
      <c r="M1458" s="2864"/>
      <c r="N1458" s="2864"/>
      <c r="O1458" s="2864"/>
      <c r="P1458" s="2864"/>
      <c r="Q1458" s="2864"/>
    </row>
    <row r="1459" spans="1:17" s="2879" customFormat="1" ht="15" customHeight="1">
      <c r="A1459" s="3934"/>
      <c r="B1459" s="3935"/>
      <c r="C1459" s="3936"/>
      <c r="D1459" s="3939"/>
      <c r="E1459" s="2913" t="s">
        <v>892</v>
      </c>
      <c r="F1459" s="2870">
        <f t="shared" si="175"/>
        <v>86</v>
      </c>
      <c r="G1459" s="2870"/>
      <c r="H1459" s="2870">
        <v>86</v>
      </c>
      <c r="I1459" s="2870"/>
      <c r="J1459" s="2871"/>
      <c r="K1459" s="2864"/>
      <c r="L1459" s="2864"/>
      <c r="M1459" s="2864"/>
      <c r="N1459" s="2864"/>
      <c r="O1459" s="2864"/>
      <c r="P1459" s="2864"/>
      <c r="Q1459" s="2864"/>
    </row>
    <row r="1460" spans="1:17" s="2879" customFormat="1" ht="15" customHeight="1">
      <c r="A1460" s="3934"/>
      <c r="B1460" s="3935"/>
      <c r="C1460" s="3936"/>
      <c r="D1460" s="3939"/>
      <c r="E1460" s="2913" t="s">
        <v>846</v>
      </c>
      <c r="F1460" s="2870">
        <f t="shared" si="175"/>
        <v>16</v>
      </c>
      <c r="G1460" s="2870"/>
      <c r="H1460" s="2870"/>
      <c r="I1460" s="2870">
        <v>16</v>
      </c>
      <c r="J1460" s="2871"/>
      <c r="K1460" s="2864"/>
      <c r="L1460" s="2864"/>
      <c r="M1460" s="2864"/>
      <c r="N1460" s="2864"/>
      <c r="O1460" s="2864"/>
      <c r="P1460" s="2864"/>
      <c r="Q1460" s="2864"/>
    </row>
    <row r="1461" spans="1:17" s="2879" customFormat="1" ht="15" customHeight="1">
      <c r="A1461" s="3934"/>
      <c r="B1461" s="3935"/>
      <c r="C1461" s="3936"/>
      <c r="D1461" s="3939"/>
      <c r="E1461" s="2913" t="s">
        <v>894</v>
      </c>
      <c r="F1461" s="2870">
        <f t="shared" si="175"/>
        <v>1593</v>
      </c>
      <c r="G1461" s="2870"/>
      <c r="H1461" s="2870">
        <v>1593</v>
      </c>
      <c r="I1461" s="2870"/>
      <c r="J1461" s="2871"/>
      <c r="K1461" s="2864"/>
      <c r="L1461" s="2864"/>
      <c r="M1461" s="2864"/>
      <c r="N1461" s="2864"/>
      <c r="O1461" s="2864"/>
      <c r="P1461" s="2864"/>
      <c r="Q1461" s="2864"/>
    </row>
    <row r="1462" spans="1:17" s="2879" customFormat="1" ht="15" customHeight="1">
      <c r="A1462" s="3934"/>
      <c r="B1462" s="3935"/>
      <c r="C1462" s="3936"/>
      <c r="D1462" s="3939"/>
      <c r="E1462" s="2913" t="s">
        <v>850</v>
      </c>
      <c r="F1462" s="2870">
        <f t="shared" si="175"/>
        <v>290</v>
      </c>
      <c r="G1462" s="2870"/>
      <c r="H1462" s="2870"/>
      <c r="I1462" s="2870">
        <v>290</v>
      </c>
      <c r="J1462" s="2871"/>
      <c r="K1462" s="2864"/>
      <c r="L1462" s="2864"/>
      <c r="M1462" s="2864"/>
      <c r="N1462" s="2864"/>
      <c r="O1462" s="2864"/>
      <c r="P1462" s="2864"/>
      <c r="Q1462" s="2864"/>
    </row>
    <row r="1463" spans="1:17" ht="15" customHeight="1" thickBot="1">
      <c r="A1463" s="3934"/>
      <c r="B1463" s="3935"/>
      <c r="C1463" s="3936"/>
      <c r="D1463" s="3939"/>
      <c r="E1463" s="2872" t="s">
        <v>1305</v>
      </c>
      <c r="F1463" s="2867">
        <f>SUM(F1464:F1465)</f>
        <v>0</v>
      </c>
      <c r="G1463" s="2867">
        <f>SUM(G1464:G1465)</f>
        <v>0</v>
      </c>
      <c r="H1463" s="2867">
        <f>SUM(H1464:H1465)</f>
        <v>0</v>
      </c>
      <c r="I1463" s="2867">
        <f>SUM(I1464:I1465)</f>
        <v>0</v>
      </c>
      <c r="J1463" s="2868">
        <f>SUM(J1464:J1465)</f>
        <v>0</v>
      </c>
    </row>
    <row r="1464" spans="1:17" ht="15" hidden="1" customHeight="1">
      <c r="A1464" s="2891"/>
      <c r="B1464" s="2910"/>
      <c r="C1464" s="2893"/>
      <c r="D1464" s="2894"/>
      <c r="E1464" s="2895"/>
      <c r="F1464" s="2896">
        <f>SUM(G1464:J1464)</f>
        <v>0</v>
      </c>
      <c r="G1464" s="2896"/>
      <c r="H1464" s="2896"/>
      <c r="I1464" s="2896"/>
      <c r="J1464" s="2897"/>
    </row>
    <row r="1465" spans="1:17" ht="15" hidden="1" customHeight="1">
      <c r="A1465" s="2891"/>
      <c r="B1465" s="2910"/>
      <c r="C1465" s="2893"/>
      <c r="D1465" s="2894"/>
      <c r="E1465" s="2916"/>
      <c r="F1465" s="2896">
        <f>SUM(G1465:J1465)</f>
        <v>0</v>
      </c>
      <c r="G1465" s="2896"/>
      <c r="H1465" s="2896"/>
      <c r="I1465" s="2896"/>
      <c r="J1465" s="2897"/>
    </row>
    <row r="1466" spans="1:17" s="243" customFormat="1" ht="15" hidden="1" customHeight="1">
      <c r="A1466" s="3952" t="s">
        <v>1308</v>
      </c>
      <c r="B1466" s="3953" t="s">
        <v>1421</v>
      </c>
      <c r="C1466" s="3954">
        <v>801</v>
      </c>
      <c r="D1466" s="3955" t="s">
        <v>1122</v>
      </c>
      <c r="E1466" s="2898" t="s">
        <v>1304</v>
      </c>
      <c r="F1466" s="2899">
        <f>SUM(F1467,F1489)</f>
        <v>0</v>
      </c>
      <c r="G1466" s="2899">
        <f>SUM(G1467,G1489)</f>
        <v>0</v>
      </c>
      <c r="H1466" s="2899">
        <f>SUM(H1467,H1489)</f>
        <v>0</v>
      </c>
      <c r="I1466" s="2899">
        <f>SUM(I1467,I1489)</f>
        <v>0</v>
      </c>
      <c r="J1466" s="2900">
        <f>SUM(J1467,J1489)</f>
        <v>0</v>
      </c>
    </row>
    <row r="1467" spans="1:17" s="243" customFormat="1" ht="15" hidden="1" customHeight="1">
      <c r="A1467" s="3952"/>
      <c r="B1467" s="3953"/>
      <c r="C1467" s="3954"/>
      <c r="D1467" s="3955"/>
      <c r="E1467" s="2901" t="s">
        <v>1310</v>
      </c>
      <c r="F1467" s="2902">
        <f>SUM(F1468,F1471,F1478)</f>
        <v>0</v>
      </c>
      <c r="G1467" s="2902">
        <f>SUM(G1468,G1471,G1478)</f>
        <v>0</v>
      </c>
      <c r="H1467" s="2902">
        <f>SUM(H1468,H1471,H1478)</f>
        <v>0</v>
      </c>
      <c r="I1467" s="2902">
        <f>SUM(I1468,I1471,I1478)</f>
        <v>0</v>
      </c>
      <c r="J1467" s="2903">
        <f>SUM(J1468,J1471,J1478)</f>
        <v>0</v>
      </c>
    </row>
    <row r="1468" spans="1:17" s="243" customFormat="1" ht="15" hidden="1" customHeight="1">
      <c r="A1468" s="3952"/>
      <c r="B1468" s="3953"/>
      <c r="C1468" s="3954"/>
      <c r="D1468" s="3955"/>
      <c r="E1468" s="2904" t="s">
        <v>1324</v>
      </c>
      <c r="F1468" s="2905">
        <f>SUM(F1469:F1470)</f>
        <v>0</v>
      </c>
      <c r="G1468" s="2905">
        <f>SUM(G1469:G1470)</f>
        <v>0</v>
      </c>
      <c r="H1468" s="2905">
        <f>SUM(H1469:H1470)</f>
        <v>0</v>
      </c>
      <c r="I1468" s="2905">
        <f>SUM(I1469:I1470)</f>
        <v>0</v>
      </c>
      <c r="J1468" s="2906">
        <f>SUM(J1469:J1470)</f>
        <v>0</v>
      </c>
    </row>
    <row r="1469" spans="1:17" s="243" customFormat="1" ht="15" hidden="1" customHeight="1">
      <c r="A1469" s="3952"/>
      <c r="B1469" s="3953"/>
      <c r="C1469" s="3954"/>
      <c r="D1469" s="3955"/>
      <c r="E1469" s="2950"/>
      <c r="F1469" s="2896">
        <f>SUM(G1469:J1469)</f>
        <v>0</v>
      </c>
      <c r="G1469" s="2896"/>
      <c r="H1469" s="2896"/>
      <c r="I1469" s="2896"/>
      <c r="J1469" s="2897"/>
    </row>
    <row r="1470" spans="1:17" s="243" customFormat="1" ht="15" hidden="1" customHeight="1">
      <c r="A1470" s="3952"/>
      <c r="B1470" s="3953"/>
      <c r="C1470" s="3954"/>
      <c r="D1470" s="3955"/>
      <c r="E1470" s="2950"/>
      <c r="F1470" s="2896">
        <f>SUM(G1470:J1470)</f>
        <v>0</v>
      </c>
      <c r="G1470" s="2896"/>
      <c r="H1470" s="2896"/>
      <c r="I1470" s="2896"/>
      <c r="J1470" s="2897"/>
    </row>
    <row r="1471" spans="1:17" s="243" customFormat="1" ht="15" hidden="1" customHeight="1">
      <c r="A1471" s="3952"/>
      <c r="B1471" s="3953"/>
      <c r="C1471" s="3954"/>
      <c r="D1471" s="3955"/>
      <c r="E1471" s="2904" t="s">
        <v>1311</v>
      </c>
      <c r="F1471" s="2905">
        <f>SUM(F1472:F1477)</f>
        <v>0</v>
      </c>
      <c r="G1471" s="2905">
        <f>SUM(G1472:G1477)</f>
        <v>0</v>
      </c>
      <c r="H1471" s="2905">
        <f>SUM(H1472:H1477)</f>
        <v>0</v>
      </c>
      <c r="I1471" s="2905">
        <f>SUM(I1472:I1477)</f>
        <v>0</v>
      </c>
      <c r="J1471" s="2906">
        <f>SUM(J1472:J1477)</f>
        <v>0</v>
      </c>
    </row>
    <row r="1472" spans="1:17" s="243" customFormat="1" ht="15" hidden="1" customHeight="1">
      <c r="A1472" s="3952"/>
      <c r="B1472" s="3953"/>
      <c r="C1472" s="3954"/>
      <c r="D1472" s="3955"/>
      <c r="E1472" s="2895" t="s">
        <v>887</v>
      </c>
      <c r="F1472" s="2896">
        <f t="shared" ref="F1472:F1477" si="176">SUM(G1472:J1472)</f>
        <v>0</v>
      </c>
      <c r="G1472" s="2896"/>
      <c r="H1472" s="2896"/>
      <c r="I1472" s="2896"/>
      <c r="J1472" s="2897"/>
    </row>
    <row r="1473" spans="1:10" s="243" customFormat="1" ht="15" hidden="1" customHeight="1">
      <c r="A1473" s="3952"/>
      <c r="B1473" s="3953"/>
      <c r="C1473" s="3954"/>
      <c r="D1473" s="3955"/>
      <c r="E1473" s="2895" t="s">
        <v>829</v>
      </c>
      <c r="F1473" s="2896">
        <f t="shared" si="176"/>
        <v>0</v>
      </c>
      <c r="G1473" s="2896"/>
      <c r="H1473" s="2896"/>
      <c r="I1473" s="2896"/>
      <c r="J1473" s="2897"/>
    </row>
    <row r="1474" spans="1:10" s="243" customFormat="1" ht="15" hidden="1" customHeight="1">
      <c r="A1474" s="3952"/>
      <c r="B1474" s="3953"/>
      <c r="C1474" s="3954"/>
      <c r="D1474" s="3955"/>
      <c r="E1474" s="2895" t="s">
        <v>889</v>
      </c>
      <c r="F1474" s="2896">
        <f t="shared" si="176"/>
        <v>0</v>
      </c>
      <c r="G1474" s="2896"/>
      <c r="H1474" s="2896"/>
      <c r="I1474" s="2896"/>
      <c r="J1474" s="2897"/>
    </row>
    <row r="1475" spans="1:10" s="243" customFormat="1" ht="15" hidden="1" customHeight="1">
      <c r="A1475" s="3952"/>
      <c r="B1475" s="3953"/>
      <c r="C1475" s="3954"/>
      <c r="D1475" s="3955"/>
      <c r="E1475" s="2895" t="s">
        <v>833</v>
      </c>
      <c r="F1475" s="2896">
        <f t="shared" si="176"/>
        <v>0</v>
      </c>
      <c r="G1475" s="2896"/>
      <c r="H1475" s="2896"/>
      <c r="I1475" s="2896"/>
      <c r="J1475" s="2897"/>
    </row>
    <row r="1476" spans="1:10" s="243" customFormat="1" ht="15" hidden="1" customHeight="1">
      <c r="A1476" s="3952"/>
      <c r="B1476" s="3953"/>
      <c r="C1476" s="3954"/>
      <c r="D1476" s="3955"/>
      <c r="E1476" s="2895" t="s">
        <v>890</v>
      </c>
      <c r="F1476" s="2896">
        <f t="shared" si="176"/>
        <v>0</v>
      </c>
      <c r="G1476" s="2896"/>
      <c r="H1476" s="2896"/>
      <c r="I1476" s="2896"/>
      <c r="J1476" s="2897"/>
    </row>
    <row r="1477" spans="1:10" s="243" customFormat="1" ht="15" hidden="1" customHeight="1">
      <c r="A1477" s="3952"/>
      <c r="B1477" s="3953"/>
      <c r="C1477" s="3954"/>
      <c r="D1477" s="3955"/>
      <c r="E1477" s="2895" t="s">
        <v>835</v>
      </c>
      <c r="F1477" s="2896">
        <f t="shared" si="176"/>
        <v>0</v>
      </c>
      <c r="G1477" s="2896"/>
      <c r="H1477" s="2896"/>
      <c r="I1477" s="2896"/>
      <c r="J1477" s="2897"/>
    </row>
    <row r="1478" spans="1:10" s="243" customFormat="1" ht="15" hidden="1" customHeight="1">
      <c r="A1478" s="3952"/>
      <c r="B1478" s="3953"/>
      <c r="C1478" s="3954"/>
      <c r="D1478" s="3955"/>
      <c r="E1478" s="2904" t="s">
        <v>1312</v>
      </c>
      <c r="F1478" s="2905">
        <f>SUM(F1479:F1488)</f>
        <v>0</v>
      </c>
      <c r="G1478" s="2905">
        <f>SUM(G1479:G1488)</f>
        <v>0</v>
      </c>
      <c r="H1478" s="2905">
        <f>SUM(H1479:H1488)</f>
        <v>0</v>
      </c>
      <c r="I1478" s="2905">
        <f>SUM(I1479:I1488)</f>
        <v>0</v>
      </c>
      <c r="J1478" s="2906">
        <f>SUM(J1479:J1488)</f>
        <v>0</v>
      </c>
    </row>
    <row r="1479" spans="1:10" s="2864" customFormat="1" ht="15" hidden="1" customHeight="1">
      <c r="A1479" s="3952"/>
      <c r="B1479" s="3953"/>
      <c r="C1479" s="3954"/>
      <c r="D1479" s="3955"/>
      <c r="E1479" s="2950" t="s">
        <v>891</v>
      </c>
      <c r="F1479" s="2896">
        <f t="shared" ref="F1479:F1488" si="177">SUM(G1479:J1479)</f>
        <v>0</v>
      </c>
      <c r="G1479" s="2896"/>
      <c r="H1479" s="2896"/>
      <c r="I1479" s="2896"/>
      <c r="J1479" s="2897"/>
    </row>
    <row r="1480" spans="1:10" s="2864" customFormat="1" ht="15" hidden="1" customHeight="1">
      <c r="A1480" s="3952"/>
      <c r="B1480" s="3953"/>
      <c r="C1480" s="3954"/>
      <c r="D1480" s="3955"/>
      <c r="E1480" s="2950" t="s">
        <v>842</v>
      </c>
      <c r="F1480" s="2896">
        <f t="shared" si="177"/>
        <v>0</v>
      </c>
      <c r="G1480" s="2896"/>
      <c r="H1480" s="2896"/>
      <c r="I1480" s="2896"/>
      <c r="J1480" s="2897"/>
    </row>
    <row r="1481" spans="1:10" s="2864" customFormat="1" ht="15" hidden="1" customHeight="1">
      <c r="A1481" s="3952"/>
      <c r="B1481" s="3953"/>
      <c r="C1481" s="3954"/>
      <c r="D1481" s="3955"/>
      <c r="E1481" s="2950" t="s">
        <v>892</v>
      </c>
      <c r="F1481" s="2896">
        <f t="shared" si="177"/>
        <v>0</v>
      </c>
      <c r="G1481" s="2896"/>
      <c r="H1481" s="2896"/>
      <c r="I1481" s="2896"/>
      <c r="J1481" s="2897"/>
    </row>
    <row r="1482" spans="1:10" s="2864" customFormat="1" ht="15" hidden="1" customHeight="1">
      <c r="A1482" s="3952"/>
      <c r="B1482" s="3953"/>
      <c r="C1482" s="3954"/>
      <c r="D1482" s="3955"/>
      <c r="E1482" s="2950" t="s">
        <v>846</v>
      </c>
      <c r="F1482" s="2896">
        <f t="shared" si="177"/>
        <v>0</v>
      </c>
      <c r="G1482" s="2896"/>
      <c r="H1482" s="2896"/>
      <c r="I1482" s="2896"/>
      <c r="J1482" s="2897"/>
    </row>
    <row r="1483" spans="1:10" s="2864" customFormat="1" ht="15" hidden="1" customHeight="1">
      <c r="A1483" s="3952"/>
      <c r="B1483" s="3953"/>
      <c r="C1483" s="3954"/>
      <c r="D1483" s="3955"/>
      <c r="E1483" s="2950" t="s">
        <v>1052</v>
      </c>
      <c r="F1483" s="2896">
        <f t="shared" si="177"/>
        <v>0</v>
      </c>
      <c r="G1483" s="2896"/>
      <c r="H1483" s="2896"/>
      <c r="I1483" s="2896"/>
      <c r="J1483" s="2897"/>
    </row>
    <row r="1484" spans="1:10" s="2864" customFormat="1" ht="15" hidden="1" customHeight="1">
      <c r="A1484" s="3952"/>
      <c r="B1484" s="3953"/>
      <c r="C1484" s="3954"/>
      <c r="D1484" s="3955"/>
      <c r="E1484" s="2950" t="s">
        <v>1053</v>
      </c>
      <c r="F1484" s="2896">
        <f t="shared" si="177"/>
        <v>0</v>
      </c>
      <c r="G1484" s="2896"/>
      <c r="H1484" s="2896"/>
      <c r="I1484" s="2896"/>
      <c r="J1484" s="2897"/>
    </row>
    <row r="1485" spans="1:10" s="2864" customFormat="1" ht="15" hidden="1" customHeight="1">
      <c r="A1485" s="3952"/>
      <c r="B1485" s="3953"/>
      <c r="C1485" s="3954"/>
      <c r="D1485" s="3955"/>
      <c r="E1485" s="2950" t="s">
        <v>894</v>
      </c>
      <c r="F1485" s="2896">
        <f t="shared" si="177"/>
        <v>0</v>
      </c>
      <c r="G1485" s="2896"/>
      <c r="H1485" s="2896"/>
      <c r="I1485" s="2896"/>
      <c r="J1485" s="2897"/>
    </row>
    <row r="1486" spans="1:10" s="2864" customFormat="1" ht="15" hidden="1" customHeight="1">
      <c r="A1486" s="3952"/>
      <c r="B1486" s="3953"/>
      <c r="C1486" s="3954"/>
      <c r="D1486" s="3955"/>
      <c r="E1486" s="2950" t="s">
        <v>850</v>
      </c>
      <c r="F1486" s="2896">
        <f t="shared" si="177"/>
        <v>0</v>
      </c>
      <c r="G1486" s="2896"/>
      <c r="H1486" s="2896"/>
      <c r="I1486" s="2896"/>
      <c r="J1486" s="2897"/>
    </row>
    <row r="1487" spans="1:10" s="2864" customFormat="1" ht="15" hidden="1" customHeight="1">
      <c r="A1487" s="3952"/>
      <c r="B1487" s="3953"/>
      <c r="C1487" s="3954"/>
      <c r="D1487" s="3955"/>
      <c r="E1487" s="2950" t="s">
        <v>1054</v>
      </c>
      <c r="F1487" s="2896">
        <f t="shared" si="177"/>
        <v>0</v>
      </c>
      <c r="G1487" s="2896"/>
      <c r="H1487" s="2896"/>
      <c r="I1487" s="2896"/>
      <c r="J1487" s="2897"/>
    </row>
    <row r="1488" spans="1:10" s="2864" customFormat="1" ht="15" hidden="1" customHeight="1">
      <c r="A1488" s="3952"/>
      <c r="B1488" s="3953"/>
      <c r="C1488" s="3954"/>
      <c r="D1488" s="3955"/>
      <c r="E1488" s="2950" t="s">
        <v>852</v>
      </c>
      <c r="F1488" s="2896">
        <f t="shared" si="177"/>
        <v>0</v>
      </c>
      <c r="G1488" s="2896"/>
      <c r="H1488" s="2896"/>
      <c r="I1488" s="2896"/>
      <c r="J1488" s="2897"/>
    </row>
    <row r="1489" spans="1:10" s="243" customFormat="1" ht="15" hidden="1" customHeight="1">
      <c r="A1489" s="3952"/>
      <c r="B1489" s="3953"/>
      <c r="C1489" s="3954"/>
      <c r="D1489" s="3955"/>
      <c r="E1489" s="2907" t="s">
        <v>1305</v>
      </c>
      <c r="F1489" s="2902">
        <f>SUM(F1490:F1491)</f>
        <v>0</v>
      </c>
      <c r="G1489" s="2902">
        <f>SUM(G1490:G1491)</f>
        <v>0</v>
      </c>
      <c r="H1489" s="2902">
        <f>SUM(H1490:H1491)</f>
        <v>0</v>
      </c>
      <c r="I1489" s="2902">
        <f>SUM(I1490:I1491)</f>
        <v>0</v>
      </c>
      <c r="J1489" s="2903">
        <f>SUM(J1490:J1491)</f>
        <v>0</v>
      </c>
    </row>
    <row r="1490" spans="1:10" s="243" customFormat="1" ht="15" hidden="1" customHeight="1">
      <c r="A1490" s="2891"/>
      <c r="B1490" s="2910"/>
      <c r="C1490" s="2893"/>
      <c r="D1490" s="2894"/>
      <c r="E1490" s="2895"/>
      <c r="F1490" s="2896">
        <f>SUM(G1490:J1490)</f>
        <v>0</v>
      </c>
      <c r="G1490" s="2896"/>
      <c r="H1490" s="2896"/>
      <c r="I1490" s="2896"/>
      <c r="J1490" s="2897"/>
    </row>
    <row r="1491" spans="1:10" s="243" customFormat="1" ht="15" hidden="1" customHeight="1">
      <c r="A1491" s="2891"/>
      <c r="B1491" s="2910"/>
      <c r="C1491" s="2893"/>
      <c r="D1491" s="2894"/>
      <c r="E1491" s="2916"/>
      <c r="F1491" s="2896">
        <f>SUM(G1491:J1491)</f>
        <v>0</v>
      </c>
      <c r="G1491" s="2896"/>
      <c r="H1491" s="2896"/>
      <c r="I1491" s="2896"/>
      <c r="J1491" s="2897"/>
    </row>
    <row r="1492" spans="1:10" s="243" customFormat="1" ht="15" hidden="1" customHeight="1">
      <c r="A1492" s="3952" t="s">
        <v>1313</v>
      </c>
      <c r="B1492" s="3953" t="s">
        <v>1422</v>
      </c>
      <c r="C1492" s="3954">
        <v>801</v>
      </c>
      <c r="D1492" s="3955" t="s">
        <v>1122</v>
      </c>
      <c r="E1492" s="2898" t="s">
        <v>1304</v>
      </c>
      <c r="F1492" s="2899">
        <f>SUM(F1493,F1515)</f>
        <v>0</v>
      </c>
      <c r="G1492" s="2899">
        <f>SUM(G1493,G1515)</f>
        <v>0</v>
      </c>
      <c r="H1492" s="2899">
        <f>SUM(H1493,H1515)</f>
        <v>0</v>
      </c>
      <c r="I1492" s="2899">
        <f>SUM(I1493,I1515)</f>
        <v>0</v>
      </c>
      <c r="J1492" s="2900">
        <f>SUM(J1493,J1515)</f>
        <v>0</v>
      </c>
    </row>
    <row r="1493" spans="1:10" s="243" customFormat="1" ht="15" hidden="1" customHeight="1">
      <c r="A1493" s="3952"/>
      <c r="B1493" s="3953"/>
      <c r="C1493" s="3954"/>
      <c r="D1493" s="3955"/>
      <c r="E1493" s="2901" t="s">
        <v>1310</v>
      </c>
      <c r="F1493" s="2902">
        <f>SUM(F1494,F1497,F1504)</f>
        <v>0</v>
      </c>
      <c r="G1493" s="2902">
        <f>SUM(G1494,G1497,G1504)</f>
        <v>0</v>
      </c>
      <c r="H1493" s="2902">
        <f>SUM(H1494,H1497,H1504)</f>
        <v>0</v>
      </c>
      <c r="I1493" s="2902">
        <f>SUM(I1494,I1497,I1504)</f>
        <v>0</v>
      </c>
      <c r="J1493" s="2903">
        <f>SUM(J1494,J1497,J1504)</f>
        <v>0</v>
      </c>
    </row>
    <row r="1494" spans="1:10" s="243" customFormat="1" ht="15" hidden="1" customHeight="1">
      <c r="A1494" s="3952"/>
      <c r="B1494" s="3953"/>
      <c r="C1494" s="3954"/>
      <c r="D1494" s="3955"/>
      <c r="E1494" s="2904" t="s">
        <v>1324</v>
      </c>
      <c r="F1494" s="2905">
        <f>SUM(F1495:F1496)</f>
        <v>0</v>
      </c>
      <c r="G1494" s="2905">
        <f>SUM(G1495:G1496)</f>
        <v>0</v>
      </c>
      <c r="H1494" s="2905">
        <f>SUM(H1495:H1496)</f>
        <v>0</v>
      </c>
      <c r="I1494" s="2905">
        <f>SUM(I1495:I1496)</f>
        <v>0</v>
      </c>
      <c r="J1494" s="2906">
        <f>SUM(J1495:J1496)</f>
        <v>0</v>
      </c>
    </row>
    <row r="1495" spans="1:10" s="243" customFormat="1" ht="15" hidden="1" customHeight="1">
      <c r="A1495" s="3952"/>
      <c r="B1495" s="3953"/>
      <c r="C1495" s="3954"/>
      <c r="D1495" s="3955"/>
      <c r="E1495" s="2950"/>
      <c r="F1495" s="2896">
        <f>SUM(G1495:J1495)</f>
        <v>0</v>
      </c>
      <c r="G1495" s="2896"/>
      <c r="H1495" s="2896"/>
      <c r="I1495" s="2896"/>
      <c r="J1495" s="2897"/>
    </row>
    <row r="1496" spans="1:10" s="243" customFormat="1" ht="15" hidden="1" customHeight="1">
      <c r="A1496" s="3952"/>
      <c r="B1496" s="3953"/>
      <c r="C1496" s="3954"/>
      <c r="D1496" s="3955"/>
      <c r="E1496" s="2950"/>
      <c r="F1496" s="2896">
        <f>SUM(G1496:J1496)</f>
        <v>0</v>
      </c>
      <c r="G1496" s="2896"/>
      <c r="H1496" s="2896"/>
      <c r="I1496" s="2896"/>
      <c r="J1496" s="2897"/>
    </row>
    <row r="1497" spans="1:10" s="243" customFormat="1" ht="15" hidden="1" customHeight="1">
      <c r="A1497" s="3952"/>
      <c r="B1497" s="3953"/>
      <c r="C1497" s="3954"/>
      <c r="D1497" s="3955"/>
      <c r="E1497" s="2904" t="s">
        <v>1311</v>
      </c>
      <c r="F1497" s="2905">
        <f>SUM(F1498:F1503)</f>
        <v>0</v>
      </c>
      <c r="G1497" s="2905">
        <f>SUM(G1498:G1503)</f>
        <v>0</v>
      </c>
      <c r="H1497" s="2905">
        <f>SUM(H1498:H1503)</f>
        <v>0</v>
      </c>
      <c r="I1497" s="2905">
        <f>SUM(I1498:I1503)</f>
        <v>0</v>
      </c>
      <c r="J1497" s="2906">
        <f>SUM(J1498:J1503)</f>
        <v>0</v>
      </c>
    </row>
    <row r="1498" spans="1:10" s="243" customFormat="1" ht="15" hidden="1" customHeight="1">
      <c r="A1498" s="3952"/>
      <c r="B1498" s="3953"/>
      <c r="C1498" s="3954"/>
      <c r="D1498" s="3955"/>
      <c r="E1498" s="2895" t="s">
        <v>887</v>
      </c>
      <c r="F1498" s="2896">
        <f t="shared" ref="F1498:F1503" si="178">SUM(G1498:J1498)</f>
        <v>0</v>
      </c>
      <c r="G1498" s="2896"/>
      <c r="H1498" s="2896"/>
      <c r="I1498" s="2896"/>
      <c r="J1498" s="2897"/>
    </row>
    <row r="1499" spans="1:10" s="243" customFormat="1" ht="15" hidden="1" customHeight="1">
      <c r="A1499" s="3952"/>
      <c r="B1499" s="3953"/>
      <c r="C1499" s="3954"/>
      <c r="D1499" s="3955"/>
      <c r="E1499" s="2895" t="s">
        <v>829</v>
      </c>
      <c r="F1499" s="2896">
        <f t="shared" si="178"/>
        <v>0</v>
      </c>
      <c r="G1499" s="2896"/>
      <c r="H1499" s="2896"/>
      <c r="I1499" s="2896"/>
      <c r="J1499" s="2897"/>
    </row>
    <row r="1500" spans="1:10" s="243" customFormat="1" ht="15" hidden="1" customHeight="1">
      <c r="A1500" s="3952"/>
      <c r="B1500" s="3953"/>
      <c r="C1500" s="3954"/>
      <c r="D1500" s="3955"/>
      <c r="E1500" s="2895" t="s">
        <v>889</v>
      </c>
      <c r="F1500" s="2896">
        <f t="shared" si="178"/>
        <v>0</v>
      </c>
      <c r="G1500" s="2896"/>
      <c r="H1500" s="2896"/>
      <c r="I1500" s="2896"/>
      <c r="J1500" s="2897"/>
    </row>
    <row r="1501" spans="1:10" s="243" customFormat="1" ht="15" hidden="1" customHeight="1">
      <c r="A1501" s="3952"/>
      <c r="B1501" s="3953"/>
      <c r="C1501" s="3954"/>
      <c r="D1501" s="3955"/>
      <c r="E1501" s="2895" t="s">
        <v>833</v>
      </c>
      <c r="F1501" s="2896">
        <f t="shared" si="178"/>
        <v>0</v>
      </c>
      <c r="G1501" s="2896"/>
      <c r="H1501" s="2896"/>
      <c r="I1501" s="2896"/>
      <c r="J1501" s="2897"/>
    </row>
    <row r="1502" spans="1:10" s="243" customFormat="1" ht="15" hidden="1" customHeight="1">
      <c r="A1502" s="3952"/>
      <c r="B1502" s="3953"/>
      <c r="C1502" s="3954"/>
      <c r="D1502" s="3955"/>
      <c r="E1502" s="2895" t="s">
        <v>890</v>
      </c>
      <c r="F1502" s="2896">
        <f t="shared" si="178"/>
        <v>0</v>
      </c>
      <c r="G1502" s="2896"/>
      <c r="H1502" s="2896"/>
      <c r="I1502" s="2896"/>
      <c r="J1502" s="2897"/>
    </row>
    <row r="1503" spans="1:10" s="243" customFormat="1" ht="15" hidden="1" customHeight="1">
      <c r="A1503" s="3952"/>
      <c r="B1503" s="3953"/>
      <c r="C1503" s="3954"/>
      <c r="D1503" s="3955"/>
      <c r="E1503" s="2895" t="s">
        <v>835</v>
      </c>
      <c r="F1503" s="2896">
        <f t="shared" si="178"/>
        <v>0</v>
      </c>
      <c r="G1503" s="2896"/>
      <c r="H1503" s="2896"/>
      <c r="I1503" s="2896"/>
      <c r="J1503" s="2897"/>
    </row>
    <row r="1504" spans="1:10" s="243" customFormat="1" ht="15" hidden="1" customHeight="1">
      <c r="A1504" s="3952"/>
      <c r="B1504" s="3953"/>
      <c r="C1504" s="3954"/>
      <c r="D1504" s="3955"/>
      <c r="E1504" s="2904" t="s">
        <v>1312</v>
      </c>
      <c r="F1504" s="2905">
        <f>SUM(F1505:F1514)</f>
        <v>0</v>
      </c>
      <c r="G1504" s="2905">
        <f>SUM(G1505:G1514)</f>
        <v>0</v>
      </c>
      <c r="H1504" s="2905">
        <f>SUM(H1505:H1514)</f>
        <v>0</v>
      </c>
      <c r="I1504" s="2905">
        <f>SUM(I1505:I1514)</f>
        <v>0</v>
      </c>
      <c r="J1504" s="2906">
        <f>SUM(J1505:J1514)</f>
        <v>0</v>
      </c>
    </row>
    <row r="1505" spans="1:11" s="2864" customFormat="1" ht="15" hidden="1" customHeight="1">
      <c r="A1505" s="3952"/>
      <c r="B1505" s="3953"/>
      <c r="C1505" s="3954"/>
      <c r="D1505" s="3955"/>
      <c r="E1505" s="2950"/>
      <c r="F1505" s="2896">
        <f t="shared" ref="F1505:F1514" si="179">SUM(G1505:J1505)</f>
        <v>0</v>
      </c>
      <c r="G1505" s="2896"/>
      <c r="H1505" s="2896"/>
      <c r="I1505" s="2896"/>
      <c r="J1505" s="2897"/>
    </row>
    <row r="1506" spans="1:11" s="2864" customFormat="1" ht="15" hidden="1" customHeight="1">
      <c r="A1506" s="3952"/>
      <c r="B1506" s="3953"/>
      <c r="C1506" s="3954"/>
      <c r="D1506" s="3955"/>
      <c r="E1506" s="2950"/>
      <c r="F1506" s="2896">
        <f t="shared" si="179"/>
        <v>0</v>
      </c>
      <c r="G1506" s="2896"/>
      <c r="H1506" s="2896"/>
      <c r="I1506" s="2896"/>
      <c r="J1506" s="2897"/>
    </row>
    <row r="1507" spans="1:11" s="2864" customFormat="1" ht="15" hidden="1" customHeight="1">
      <c r="A1507" s="3952"/>
      <c r="B1507" s="3953"/>
      <c r="C1507" s="3954"/>
      <c r="D1507" s="3955"/>
      <c r="E1507" s="2950" t="s">
        <v>1126</v>
      </c>
      <c r="F1507" s="2896">
        <f t="shared" si="179"/>
        <v>0</v>
      </c>
      <c r="G1507" s="2896"/>
      <c r="H1507" s="2896"/>
      <c r="I1507" s="2896"/>
      <c r="J1507" s="2897"/>
    </row>
    <row r="1508" spans="1:11" s="2864" customFormat="1" ht="15" hidden="1" customHeight="1">
      <c r="A1508" s="3952"/>
      <c r="B1508" s="3953"/>
      <c r="C1508" s="3954"/>
      <c r="D1508" s="3955"/>
      <c r="E1508" s="2950" t="s">
        <v>1050</v>
      </c>
      <c r="F1508" s="2896">
        <f t="shared" si="179"/>
        <v>0</v>
      </c>
      <c r="G1508" s="2896"/>
      <c r="H1508" s="2896"/>
      <c r="I1508" s="2896"/>
      <c r="J1508" s="2897"/>
    </row>
    <row r="1509" spans="1:11" s="2864" customFormat="1" ht="15" hidden="1" customHeight="1">
      <c r="A1509" s="3952"/>
      <c r="B1509" s="3953"/>
      <c r="C1509" s="3954"/>
      <c r="D1509" s="3955"/>
      <c r="E1509" s="2950" t="s">
        <v>1120</v>
      </c>
      <c r="F1509" s="2896">
        <f t="shared" si="179"/>
        <v>0</v>
      </c>
      <c r="G1509" s="2896"/>
      <c r="H1509" s="2896"/>
      <c r="I1509" s="2896"/>
      <c r="J1509" s="2897"/>
    </row>
    <row r="1510" spans="1:11" s="2864" customFormat="1" ht="15" hidden="1" customHeight="1">
      <c r="A1510" s="3952"/>
      <c r="B1510" s="3953"/>
      <c r="C1510" s="3954"/>
      <c r="D1510" s="3955"/>
      <c r="E1510" s="2950" t="s">
        <v>1121</v>
      </c>
      <c r="F1510" s="2896">
        <f t="shared" si="179"/>
        <v>0</v>
      </c>
      <c r="G1510" s="2896"/>
      <c r="H1510" s="2896"/>
      <c r="I1510" s="2896"/>
      <c r="J1510" s="2897"/>
    </row>
    <row r="1511" spans="1:11" s="2864" customFormat="1" ht="15" hidden="1" customHeight="1">
      <c r="A1511" s="3952"/>
      <c r="B1511" s="3953"/>
      <c r="C1511" s="3954"/>
      <c r="D1511" s="3955"/>
      <c r="E1511" s="2950"/>
      <c r="F1511" s="2896">
        <f t="shared" si="179"/>
        <v>0</v>
      </c>
      <c r="G1511" s="2896"/>
      <c r="H1511" s="2896"/>
      <c r="I1511" s="2896"/>
      <c r="J1511" s="2897"/>
    </row>
    <row r="1512" spans="1:11" s="2864" customFormat="1" ht="15" hidden="1" customHeight="1">
      <c r="A1512" s="3952"/>
      <c r="B1512" s="3953"/>
      <c r="C1512" s="3954"/>
      <c r="D1512" s="3955"/>
      <c r="E1512" s="2950"/>
      <c r="F1512" s="2896">
        <f t="shared" si="179"/>
        <v>0</v>
      </c>
      <c r="G1512" s="2896"/>
      <c r="H1512" s="2896"/>
      <c r="I1512" s="2896"/>
      <c r="J1512" s="2897"/>
    </row>
    <row r="1513" spans="1:11" s="2864" customFormat="1" ht="15" hidden="1" customHeight="1">
      <c r="A1513" s="3952"/>
      <c r="B1513" s="3953"/>
      <c r="C1513" s="3954"/>
      <c r="D1513" s="3955"/>
      <c r="E1513" s="2950" t="s">
        <v>1054</v>
      </c>
      <c r="F1513" s="2896">
        <f t="shared" si="179"/>
        <v>0</v>
      </c>
      <c r="G1513" s="2896"/>
      <c r="H1513" s="2896"/>
      <c r="I1513" s="2896"/>
      <c r="J1513" s="2897"/>
    </row>
    <row r="1514" spans="1:11" s="2864" customFormat="1" ht="15" hidden="1" customHeight="1">
      <c r="A1514" s="3952"/>
      <c r="B1514" s="3953"/>
      <c r="C1514" s="3954"/>
      <c r="D1514" s="3955"/>
      <c r="E1514" s="2950" t="s">
        <v>852</v>
      </c>
      <c r="F1514" s="2896">
        <f t="shared" si="179"/>
        <v>0</v>
      </c>
      <c r="G1514" s="2896"/>
      <c r="H1514" s="2896"/>
      <c r="I1514" s="2896"/>
      <c r="J1514" s="2897"/>
    </row>
    <row r="1515" spans="1:11" s="243" customFormat="1" ht="15" hidden="1" customHeight="1">
      <c r="A1515" s="3952"/>
      <c r="B1515" s="3953"/>
      <c r="C1515" s="3954"/>
      <c r="D1515" s="3955"/>
      <c r="E1515" s="2907" t="s">
        <v>1305</v>
      </c>
      <c r="F1515" s="2902">
        <f>SUM(F1516:F1517)</f>
        <v>0</v>
      </c>
      <c r="G1515" s="2902">
        <f>SUM(G1516:G1517)</f>
        <v>0</v>
      </c>
      <c r="H1515" s="2902">
        <f>SUM(H1516:H1517)</f>
        <v>0</v>
      </c>
      <c r="I1515" s="2902">
        <f>SUM(I1516:I1517)</f>
        <v>0</v>
      </c>
      <c r="J1515" s="2903">
        <f>SUM(J1516:J1517)</f>
        <v>0</v>
      </c>
    </row>
    <row r="1516" spans="1:11" s="243" customFormat="1" ht="15" hidden="1" customHeight="1">
      <c r="A1516" s="2891"/>
      <c r="B1516" s="2910"/>
      <c r="C1516" s="2893"/>
      <c r="D1516" s="2894"/>
      <c r="E1516" s="2895"/>
      <c r="F1516" s="2896">
        <f>SUM(G1516:J1516)</f>
        <v>0</v>
      </c>
      <c r="G1516" s="2896"/>
      <c r="H1516" s="2896"/>
      <c r="I1516" s="2896"/>
      <c r="J1516" s="2897"/>
    </row>
    <row r="1517" spans="1:11" s="243" customFormat="1" ht="15" hidden="1" customHeight="1">
      <c r="A1517" s="2891"/>
      <c r="B1517" s="2910"/>
      <c r="C1517" s="2893"/>
      <c r="D1517" s="2894"/>
      <c r="E1517" s="2916"/>
      <c r="F1517" s="2896">
        <f>SUM(G1517:J1517)</f>
        <v>0</v>
      </c>
      <c r="G1517" s="2896"/>
      <c r="H1517" s="2896"/>
      <c r="I1517" s="2896"/>
      <c r="J1517" s="2897"/>
    </row>
    <row r="1518" spans="1:11" s="204" customFormat="1" ht="24.95" customHeight="1" thickBot="1">
      <c r="A1518" s="3963" t="s">
        <v>1423</v>
      </c>
      <c r="B1518" s="3964"/>
      <c r="C1518" s="3964"/>
      <c r="D1518" s="3964"/>
      <c r="E1518" s="3964"/>
      <c r="F1518" s="2951">
        <f>F8+F803+F1059+F1103+F1269+F1436</f>
        <v>532940305</v>
      </c>
      <c r="G1518" s="2951">
        <f>G8+G803+G1059+G1103+G1269+G1436</f>
        <v>151892203</v>
      </c>
      <c r="H1518" s="2951">
        <f>H8+H803+H1059+H1103+H1269+H1436</f>
        <v>260386352</v>
      </c>
      <c r="I1518" s="2951">
        <f>I8+I803+I1059+I1103+I1269+I1436</f>
        <v>115114620</v>
      </c>
      <c r="J1518" s="2952">
        <f>J8+J803+J1059+J1103+J1269+J1436</f>
        <v>5547130</v>
      </c>
      <c r="K1518" s="203"/>
    </row>
    <row r="1519" spans="1:11" ht="15" customHeight="1">
      <c r="A1519" s="3965"/>
      <c r="B1519" s="3965"/>
      <c r="C1519" s="3965"/>
      <c r="D1519" s="3965"/>
      <c r="E1519" s="3965"/>
      <c r="F1519" s="3965"/>
      <c r="G1519" s="3965"/>
      <c r="H1519" s="3965"/>
      <c r="I1519" s="3965"/>
      <c r="J1519" s="3965"/>
    </row>
    <row r="1520" spans="1:11">
      <c r="F1520" s="2954"/>
      <c r="H1520" s="2954"/>
      <c r="I1520" s="2954"/>
    </row>
    <row r="1521" spans="3:11">
      <c r="F1521" s="2954"/>
      <c r="H1521" s="2954"/>
    </row>
    <row r="1522" spans="3:11" ht="15" customHeight="1">
      <c r="D1522" s="3966"/>
      <c r="E1522" s="3966"/>
    </row>
    <row r="1523" spans="3:11">
      <c r="E1523" s="2955"/>
      <c r="F1523" s="2956"/>
      <c r="G1523" s="2956"/>
      <c r="H1523" s="2956"/>
      <c r="I1523" s="2956"/>
      <c r="J1523" s="2956"/>
      <c r="K1523" s="2954"/>
    </row>
    <row r="1524" spans="3:11">
      <c r="E1524" s="2957"/>
      <c r="F1524" s="2954"/>
      <c r="G1524" s="2954"/>
      <c r="H1524" s="2954"/>
      <c r="I1524" s="2954"/>
      <c r="J1524" s="2954"/>
      <c r="K1524" s="2954"/>
    </row>
    <row r="1525" spans="3:11">
      <c r="E1525" s="2957"/>
      <c r="F1525" s="2954"/>
      <c r="G1525" s="2954"/>
      <c r="H1525" s="2954"/>
      <c r="I1525" s="2954"/>
      <c r="J1525" s="2954"/>
      <c r="K1525" s="2954"/>
    </row>
    <row r="1526" spans="3:11">
      <c r="C1526" s="2958"/>
      <c r="D1526" s="3967"/>
      <c r="E1526" s="3967"/>
      <c r="F1526" s="203"/>
      <c r="G1526" s="203"/>
      <c r="H1526" s="203"/>
      <c r="I1526" s="203"/>
      <c r="J1526" s="203"/>
      <c r="K1526" s="2954"/>
    </row>
    <row r="1527" spans="3:11">
      <c r="C1527" s="2958"/>
      <c r="D1527" s="2958"/>
      <c r="E1527" s="2959"/>
      <c r="F1527" s="2960"/>
      <c r="G1527" s="2960"/>
      <c r="H1527" s="2960"/>
      <c r="I1527" s="2960"/>
      <c r="J1527" s="2960"/>
      <c r="K1527" s="2954"/>
    </row>
    <row r="1528" spans="3:11">
      <c r="C1528" s="2958"/>
      <c r="D1528" s="2958"/>
      <c r="E1528" s="2961"/>
      <c r="F1528" s="203"/>
      <c r="G1528" s="203"/>
      <c r="H1528" s="203"/>
      <c r="I1528" s="203"/>
      <c r="J1528" s="203"/>
      <c r="K1528" s="2954"/>
    </row>
    <row r="1529" spans="3:11">
      <c r="C1529" s="2958"/>
      <c r="D1529" s="2958"/>
      <c r="E1529" s="2962"/>
      <c r="F1529" s="203"/>
      <c r="G1529" s="203"/>
      <c r="H1529" s="203"/>
      <c r="I1529" s="203"/>
      <c r="J1529" s="203"/>
      <c r="K1529" s="2954"/>
    </row>
    <row r="1530" spans="3:11">
      <c r="C1530" s="2958"/>
      <c r="D1530" s="2958"/>
      <c r="E1530" s="2961"/>
      <c r="F1530" s="203"/>
      <c r="G1530" s="203"/>
      <c r="H1530" s="203"/>
      <c r="I1530" s="203"/>
      <c r="J1530" s="203"/>
      <c r="K1530" s="2954"/>
    </row>
    <row r="1531" spans="3:11">
      <c r="C1531" s="2958"/>
      <c r="D1531" s="2958"/>
      <c r="E1531" s="2963"/>
      <c r="F1531" s="2960"/>
      <c r="G1531" s="2960"/>
      <c r="H1531" s="2960"/>
      <c r="I1531" s="2960"/>
      <c r="J1531" s="2960"/>
    </row>
    <row r="1532" spans="3:11">
      <c r="C1532" s="2958"/>
      <c r="D1532" s="2958"/>
      <c r="E1532" s="321"/>
      <c r="F1532" s="203"/>
      <c r="G1532" s="203"/>
      <c r="H1532" s="203"/>
      <c r="I1532" s="203"/>
      <c r="J1532" s="203"/>
    </row>
    <row r="1533" spans="3:11">
      <c r="C1533" s="2958"/>
      <c r="D1533" s="2958"/>
      <c r="E1533" s="321"/>
      <c r="F1533" s="203"/>
      <c r="G1533" s="203"/>
      <c r="H1533" s="203"/>
      <c r="I1533" s="203"/>
      <c r="J1533" s="203"/>
    </row>
    <row r="1534" spans="3:11">
      <c r="C1534" s="2958"/>
      <c r="D1534" s="2958"/>
      <c r="E1534" s="2964"/>
      <c r="F1534" s="2960"/>
      <c r="G1534" s="2960"/>
      <c r="H1534" s="2960"/>
      <c r="I1534" s="2960"/>
      <c r="J1534" s="2960"/>
    </row>
    <row r="1535" spans="3:11">
      <c r="C1535" s="2958"/>
      <c r="D1535" s="2958"/>
      <c r="E1535" s="2964"/>
      <c r="F1535" s="203"/>
      <c r="G1535" s="203"/>
      <c r="H1535" s="203"/>
      <c r="I1535" s="203"/>
      <c r="J1535" s="203"/>
    </row>
    <row r="1536" spans="3:11">
      <c r="C1536" s="2958"/>
      <c r="D1536" s="2958"/>
      <c r="E1536" s="2965"/>
      <c r="F1536" s="2960"/>
      <c r="G1536" s="2960"/>
      <c r="H1536" s="2960"/>
      <c r="I1536" s="2960"/>
      <c r="J1536" s="2960"/>
    </row>
    <row r="1537" spans="3:11">
      <c r="C1537" s="2958"/>
      <c r="D1537" s="2958"/>
      <c r="E1537" s="2966"/>
      <c r="F1537" s="203"/>
      <c r="G1537" s="203"/>
      <c r="H1537" s="203"/>
      <c r="I1537" s="203"/>
      <c r="J1537" s="203"/>
      <c r="K1537" s="204"/>
    </row>
    <row r="1538" spans="3:11">
      <c r="C1538" s="2958"/>
      <c r="D1538" s="2958"/>
      <c r="E1538" s="2965"/>
      <c r="F1538" s="203"/>
      <c r="G1538" s="203"/>
      <c r="H1538" s="203"/>
      <c r="I1538" s="203"/>
      <c r="J1538" s="203"/>
      <c r="K1538" s="204"/>
    </row>
    <row r="1539" spans="3:11">
      <c r="C1539" s="2958"/>
      <c r="D1539" s="2958"/>
      <c r="E1539" s="2965"/>
      <c r="F1539" s="203"/>
      <c r="G1539" s="203"/>
      <c r="H1539" s="203"/>
      <c r="I1539" s="203"/>
      <c r="J1539" s="203"/>
      <c r="K1539" s="204"/>
    </row>
    <row r="1540" spans="3:11">
      <c r="C1540" s="2958"/>
      <c r="D1540" s="2958"/>
      <c r="E1540" s="2963"/>
      <c r="F1540" s="2960"/>
      <c r="G1540" s="2960"/>
      <c r="H1540" s="2960"/>
      <c r="I1540" s="2960"/>
      <c r="J1540" s="2960"/>
      <c r="K1540" s="204"/>
    </row>
    <row r="1541" spans="3:11">
      <c r="C1541" s="2958"/>
      <c r="D1541" s="2958"/>
      <c r="E1541" s="2964"/>
      <c r="F1541" s="203"/>
      <c r="G1541" s="204"/>
      <c r="H1541" s="204"/>
      <c r="I1541" s="204"/>
      <c r="J1541" s="204"/>
      <c r="K1541" s="204"/>
    </row>
    <row r="1542" spans="3:11" ht="15">
      <c r="C1542" s="2958"/>
      <c r="D1542" s="2958"/>
      <c r="E1542" s="2967"/>
      <c r="F1542" s="2968"/>
      <c r="G1542" s="2968"/>
      <c r="H1542" s="2968"/>
      <c r="I1542" s="2968"/>
      <c r="J1542" s="2968"/>
      <c r="K1542" s="204"/>
    </row>
    <row r="1543" spans="3:11">
      <c r="C1543" s="2958"/>
      <c r="D1543" s="2958"/>
      <c r="E1543" s="204"/>
      <c r="F1543" s="204"/>
      <c r="G1543" s="204"/>
      <c r="H1543" s="204"/>
      <c r="I1543" s="204"/>
      <c r="J1543" s="204"/>
      <c r="K1543" s="204"/>
    </row>
    <row r="1544" spans="3:11" ht="15" customHeight="1">
      <c r="D1544" s="3966"/>
      <c r="E1544" s="3966"/>
    </row>
    <row r="1545" spans="3:11">
      <c r="E1545" s="2955"/>
      <c r="F1545" s="2956"/>
      <c r="G1545" s="2956"/>
      <c r="H1545" s="2956"/>
      <c r="I1545" s="2956"/>
      <c r="J1545" s="2956"/>
      <c r="K1545" s="2954"/>
    </row>
    <row r="1546" spans="3:11">
      <c r="E1546" s="2957"/>
      <c r="F1546" s="2954"/>
      <c r="G1546" s="2954"/>
      <c r="H1546" s="2954"/>
      <c r="I1546" s="2954"/>
      <c r="J1546" s="2954"/>
      <c r="K1546" s="2954"/>
    </row>
    <row r="1547" spans="3:11">
      <c r="E1547" s="2957"/>
      <c r="F1547" s="2954"/>
      <c r="G1547" s="2954"/>
      <c r="H1547" s="2954"/>
      <c r="I1547" s="2954"/>
      <c r="J1547" s="2954"/>
      <c r="K1547" s="2954"/>
    </row>
    <row r="1548" spans="3:11">
      <c r="E1548" s="2957"/>
      <c r="F1548" s="2954"/>
      <c r="G1548" s="2954"/>
      <c r="H1548" s="2954"/>
      <c r="I1548" s="2954"/>
      <c r="J1548" s="2954"/>
      <c r="K1548" s="2954"/>
    </row>
    <row r="1549" spans="3:11">
      <c r="E1549" s="2969"/>
      <c r="F1549" s="2956"/>
      <c r="G1549" s="2956"/>
      <c r="H1549" s="2956"/>
      <c r="I1549" s="2956"/>
      <c r="J1549" s="2956"/>
      <c r="K1549" s="2954"/>
    </row>
    <row r="1550" spans="3:11">
      <c r="E1550" s="2970"/>
      <c r="F1550" s="2954"/>
      <c r="G1550" s="2954"/>
      <c r="H1550" s="2954"/>
      <c r="I1550" s="2954"/>
      <c r="J1550" s="2954"/>
      <c r="K1550" s="2954"/>
    </row>
    <row r="1551" spans="3:11">
      <c r="E1551" s="2970"/>
      <c r="F1551" s="2954"/>
      <c r="G1551" s="2954"/>
      <c r="H1551" s="2954"/>
      <c r="I1551" s="2954"/>
      <c r="J1551" s="2954"/>
      <c r="K1551" s="2954"/>
    </row>
    <row r="1552" spans="3:11">
      <c r="E1552" s="2971"/>
      <c r="F1552" s="2942"/>
      <c r="G1552" s="2942"/>
      <c r="H1552" s="2942"/>
      <c r="I1552" s="2942"/>
      <c r="J1552" s="2942"/>
      <c r="K1552" s="2954"/>
    </row>
    <row r="1553" spans="5:10">
      <c r="E1553" s="2971"/>
      <c r="F1553" s="2954"/>
      <c r="G1553" s="2954"/>
      <c r="H1553" s="2954"/>
      <c r="I1553" s="2954"/>
      <c r="J1553" s="2954"/>
    </row>
    <row r="1554" spans="5:10">
      <c r="E1554" s="2972"/>
      <c r="F1554" s="2954"/>
      <c r="G1554" s="2954"/>
      <c r="H1554" s="2954"/>
      <c r="I1554" s="2954"/>
      <c r="J1554" s="2954"/>
    </row>
    <row r="1555" spans="5:10">
      <c r="E1555" s="2973"/>
      <c r="F1555" s="2954"/>
      <c r="G1555" s="2954"/>
      <c r="H1555" s="2954"/>
      <c r="I1555" s="2954"/>
      <c r="J1555" s="2954"/>
    </row>
    <row r="1556" spans="5:10">
      <c r="E1556" s="2972"/>
      <c r="F1556" s="2954"/>
      <c r="G1556" s="2954"/>
      <c r="H1556" s="2954"/>
      <c r="I1556" s="2954"/>
      <c r="J1556" s="2954"/>
    </row>
    <row r="1557" spans="5:10">
      <c r="E1557" s="2972"/>
      <c r="F1557" s="2954"/>
      <c r="G1557" s="2954"/>
      <c r="H1557" s="2954"/>
      <c r="I1557" s="2954"/>
      <c r="J1557" s="2954"/>
    </row>
    <row r="1558" spans="5:10">
      <c r="E1558" s="2969"/>
      <c r="F1558" s="2956"/>
      <c r="G1558" s="2956"/>
      <c r="H1558" s="2956"/>
      <c r="I1558" s="2956"/>
      <c r="J1558" s="2956"/>
    </row>
    <row r="1559" spans="5:10">
      <c r="E1559" s="2971"/>
      <c r="F1559" s="2954"/>
      <c r="G1559" s="2954"/>
      <c r="H1559" s="2954"/>
      <c r="I1559" s="2954"/>
      <c r="J1559" s="2954"/>
    </row>
    <row r="1560" spans="5:10">
      <c r="E1560" s="2973"/>
      <c r="F1560" s="2942"/>
      <c r="G1560" s="2942"/>
      <c r="H1560" s="2942"/>
      <c r="I1560" s="2942"/>
      <c r="J1560" s="2942"/>
    </row>
    <row r="1561" spans="5:10">
      <c r="F1561" s="2954"/>
      <c r="G1561" s="2954"/>
      <c r="H1561" s="2954"/>
      <c r="I1561" s="2954"/>
      <c r="J1561" s="2954"/>
    </row>
    <row r="1562" spans="5:10">
      <c r="F1562" s="2954"/>
    </row>
    <row r="1563" spans="5:10">
      <c r="F1563" s="2954"/>
    </row>
    <row r="1564" spans="5:10">
      <c r="F1564" s="2954"/>
    </row>
  </sheetData>
  <mergeCells count="342">
    <mergeCell ref="A1518:E1518"/>
    <mergeCell ref="A1519:J1519"/>
    <mergeCell ref="D1522:E1522"/>
    <mergeCell ref="D1526:E1526"/>
    <mergeCell ref="D1544:E1544"/>
    <mergeCell ref="A1466:A1489"/>
    <mergeCell ref="B1466:B1489"/>
    <mergeCell ref="C1466:C1489"/>
    <mergeCell ref="D1466:D1489"/>
    <mergeCell ref="A1492:A1515"/>
    <mergeCell ref="B1492:B1515"/>
    <mergeCell ref="C1492:C1515"/>
    <mergeCell ref="D1492:D1515"/>
    <mergeCell ref="B1436:E1436"/>
    <mergeCell ref="A1437:J1437"/>
    <mergeCell ref="A1438:A1463"/>
    <mergeCell ref="B1438:B1463"/>
    <mergeCell ref="C1438:C1463"/>
    <mergeCell ref="D1438:D1463"/>
    <mergeCell ref="A1391:A1414"/>
    <mergeCell ref="B1391:B1414"/>
    <mergeCell ref="C1391:C1414"/>
    <mergeCell ref="D1391:D1414"/>
    <mergeCell ref="A1415:A1433"/>
    <mergeCell ref="B1415:B1433"/>
    <mergeCell ref="C1415:C1433"/>
    <mergeCell ref="D1415:D1433"/>
    <mergeCell ref="A1317:A1360"/>
    <mergeCell ref="B1317:B1360"/>
    <mergeCell ref="C1317:C1360"/>
    <mergeCell ref="D1317:D1360"/>
    <mergeCell ref="A1363:A1388"/>
    <mergeCell ref="B1363:B1388"/>
    <mergeCell ref="C1363:C1388"/>
    <mergeCell ref="D1363:D1388"/>
    <mergeCell ref="A1271:A1291"/>
    <mergeCell ref="B1271:B1291"/>
    <mergeCell ref="C1271:C1291"/>
    <mergeCell ref="D1271:D1291"/>
    <mergeCell ref="A1294:A1314"/>
    <mergeCell ref="B1294:B1314"/>
    <mergeCell ref="C1294:C1314"/>
    <mergeCell ref="D1294:D1314"/>
    <mergeCell ref="A1248:A1268"/>
    <mergeCell ref="B1248:B1268"/>
    <mergeCell ref="C1248:C1268"/>
    <mergeCell ref="D1248:D1268"/>
    <mergeCell ref="B1269:E1269"/>
    <mergeCell ref="A1270:J1270"/>
    <mergeCell ref="A1186:A1231"/>
    <mergeCell ref="B1186:B1231"/>
    <mergeCell ref="C1186:C1231"/>
    <mergeCell ref="D1186:D1231"/>
    <mergeCell ref="A1234:A1245"/>
    <mergeCell ref="B1234:B1245"/>
    <mergeCell ref="C1234:C1245"/>
    <mergeCell ref="D1234:D1245"/>
    <mergeCell ref="C1137:C1138"/>
    <mergeCell ref="D1137:D1138"/>
    <mergeCell ref="A1139:A1183"/>
    <mergeCell ref="B1139:B1183"/>
    <mergeCell ref="C1139:C1183"/>
    <mergeCell ref="D1139:D1183"/>
    <mergeCell ref="D1127:D1130"/>
    <mergeCell ref="C1131:D1131"/>
    <mergeCell ref="C1132:C1134"/>
    <mergeCell ref="D1132:D1134"/>
    <mergeCell ref="C1135:C1136"/>
    <mergeCell ref="D1135:D1136"/>
    <mergeCell ref="A1113:A1138"/>
    <mergeCell ref="B1113:B1138"/>
    <mergeCell ref="C1113:D1114"/>
    <mergeCell ref="C1115:C1118"/>
    <mergeCell ref="D1115:D1118"/>
    <mergeCell ref="C1119:C1122"/>
    <mergeCell ref="D1119:D1122"/>
    <mergeCell ref="C1123:C1126"/>
    <mergeCell ref="D1123:D1126"/>
    <mergeCell ref="C1127:C1130"/>
    <mergeCell ref="A1105:A1112"/>
    <mergeCell ref="B1105:B1112"/>
    <mergeCell ref="C1105:D1106"/>
    <mergeCell ref="C1107:C1109"/>
    <mergeCell ref="D1107:D1109"/>
    <mergeCell ref="C1110:D1110"/>
    <mergeCell ref="A1082:A1102"/>
    <mergeCell ref="B1082:B1102"/>
    <mergeCell ref="C1082:C1102"/>
    <mergeCell ref="D1082:D1102"/>
    <mergeCell ref="B1103:E1103"/>
    <mergeCell ref="A1104:J1104"/>
    <mergeCell ref="B1059:E1059"/>
    <mergeCell ref="A1060:J1060"/>
    <mergeCell ref="A1061:A1079"/>
    <mergeCell ref="B1061:B1079"/>
    <mergeCell ref="C1061:C1079"/>
    <mergeCell ref="D1061:D1079"/>
    <mergeCell ref="B1042:E1042"/>
    <mergeCell ref="A1043:J1043"/>
    <mergeCell ref="A1044:A1058"/>
    <mergeCell ref="B1044:B1058"/>
    <mergeCell ref="C1044:C1054"/>
    <mergeCell ref="D1044:D1054"/>
    <mergeCell ref="C1055:C1058"/>
    <mergeCell ref="D1055:D1058"/>
    <mergeCell ref="B1029:E1029"/>
    <mergeCell ref="A1030:J1030"/>
    <mergeCell ref="A1031:A1040"/>
    <mergeCell ref="B1031:B1040"/>
    <mergeCell ref="C1031:C1040"/>
    <mergeCell ref="D1031:D1040"/>
    <mergeCell ref="B1017:E1017"/>
    <mergeCell ref="A1018:J1018"/>
    <mergeCell ref="A1019:A1027"/>
    <mergeCell ref="B1019:B1027"/>
    <mergeCell ref="C1019:C1027"/>
    <mergeCell ref="D1019:D1027"/>
    <mergeCell ref="A985:A999"/>
    <mergeCell ref="B985:B999"/>
    <mergeCell ref="C985:C999"/>
    <mergeCell ref="D985:D999"/>
    <mergeCell ref="A1000:A1016"/>
    <mergeCell ref="B1000:B1016"/>
    <mergeCell ref="C1000:C1016"/>
    <mergeCell ref="D1000:D1016"/>
    <mergeCell ref="A955:A969"/>
    <mergeCell ref="B955:B969"/>
    <mergeCell ref="C955:C969"/>
    <mergeCell ref="D955:D969"/>
    <mergeCell ref="A970:A984"/>
    <mergeCell ref="B970:B984"/>
    <mergeCell ref="C970:C984"/>
    <mergeCell ref="D970:D984"/>
    <mergeCell ref="A925:A936"/>
    <mergeCell ref="B925:B936"/>
    <mergeCell ref="C925:C936"/>
    <mergeCell ref="D925:D936"/>
    <mergeCell ref="A940:A954"/>
    <mergeCell ref="B940:B954"/>
    <mergeCell ref="C940:C954"/>
    <mergeCell ref="D940:D954"/>
    <mergeCell ref="A895:A909"/>
    <mergeCell ref="B895:B909"/>
    <mergeCell ref="C895:C909"/>
    <mergeCell ref="D895:D909"/>
    <mergeCell ref="A910:A924"/>
    <mergeCell ref="B910:B924"/>
    <mergeCell ref="C910:C924"/>
    <mergeCell ref="D910:D924"/>
    <mergeCell ref="A865:A879"/>
    <mergeCell ref="B865:B879"/>
    <mergeCell ref="C865:C879"/>
    <mergeCell ref="D865:D879"/>
    <mergeCell ref="A880:A894"/>
    <mergeCell ref="B880:B894"/>
    <mergeCell ref="C880:C894"/>
    <mergeCell ref="D880:D894"/>
    <mergeCell ref="A835:A849"/>
    <mergeCell ref="B835:B849"/>
    <mergeCell ref="C835:C849"/>
    <mergeCell ref="D835:D849"/>
    <mergeCell ref="A850:A864"/>
    <mergeCell ref="B850:B864"/>
    <mergeCell ref="C850:C864"/>
    <mergeCell ref="D850:D864"/>
    <mergeCell ref="A805:A816"/>
    <mergeCell ref="B805:B816"/>
    <mergeCell ref="C805:C816"/>
    <mergeCell ref="D805:D816"/>
    <mergeCell ref="A820:A834"/>
    <mergeCell ref="B820:B834"/>
    <mergeCell ref="C820:C834"/>
    <mergeCell ref="D820:D834"/>
    <mergeCell ref="A777:A800"/>
    <mergeCell ref="B777:B800"/>
    <mergeCell ref="C777:C800"/>
    <mergeCell ref="D777:D800"/>
    <mergeCell ref="B803:E803"/>
    <mergeCell ref="A804:J804"/>
    <mergeCell ref="A711:A746"/>
    <mergeCell ref="B711:B746"/>
    <mergeCell ref="C711:C746"/>
    <mergeCell ref="D711:D746"/>
    <mergeCell ref="A749:A776"/>
    <mergeCell ref="B749:B776"/>
    <mergeCell ref="C749:C776"/>
    <mergeCell ref="D749:D776"/>
    <mergeCell ref="A657:A688"/>
    <mergeCell ref="B657:B688"/>
    <mergeCell ref="C657:C688"/>
    <mergeCell ref="D657:D688"/>
    <mergeCell ref="A689:A708"/>
    <mergeCell ref="B689:B708"/>
    <mergeCell ref="C689:C708"/>
    <mergeCell ref="D689:D708"/>
    <mergeCell ref="A617:A633"/>
    <mergeCell ref="B617:B633"/>
    <mergeCell ref="C617:C633"/>
    <mergeCell ref="D617:D633"/>
    <mergeCell ref="A636:A654"/>
    <mergeCell ref="B636:B654"/>
    <mergeCell ref="C636:C654"/>
    <mergeCell ref="D636:D654"/>
    <mergeCell ref="A567:A592"/>
    <mergeCell ref="B567:B592"/>
    <mergeCell ref="C567:C592"/>
    <mergeCell ref="D567:D592"/>
    <mergeCell ref="A594:A615"/>
    <mergeCell ref="B594:B615"/>
    <mergeCell ref="C594:C615"/>
    <mergeCell ref="D594:D615"/>
    <mergeCell ref="A521:A541"/>
    <mergeCell ref="B521:B541"/>
    <mergeCell ref="C521:C541"/>
    <mergeCell ref="D521:D541"/>
    <mergeCell ref="A544:A564"/>
    <mergeCell ref="B544:B564"/>
    <mergeCell ref="C544:C564"/>
    <mergeCell ref="D544:D564"/>
    <mergeCell ref="A482:A495"/>
    <mergeCell ref="B482:B495"/>
    <mergeCell ref="C482:C495"/>
    <mergeCell ref="D482:D495"/>
    <mergeCell ref="A496:A518"/>
    <mergeCell ref="B496:B518"/>
    <mergeCell ref="C496:C518"/>
    <mergeCell ref="D496:D518"/>
    <mergeCell ref="A451:A464"/>
    <mergeCell ref="B451:B464"/>
    <mergeCell ref="C451:C464"/>
    <mergeCell ref="D451:D464"/>
    <mergeCell ref="A465:A478"/>
    <mergeCell ref="B465:B478"/>
    <mergeCell ref="C465:C478"/>
    <mergeCell ref="D465:D478"/>
    <mergeCell ref="A374:A414"/>
    <mergeCell ref="B374:B414"/>
    <mergeCell ref="C374:C414"/>
    <mergeCell ref="D374:D414"/>
    <mergeCell ref="A417:A448"/>
    <mergeCell ref="B417:B448"/>
    <mergeCell ref="C417:C448"/>
    <mergeCell ref="D417:D448"/>
    <mergeCell ref="A338:A360"/>
    <mergeCell ref="B338:B360"/>
    <mergeCell ref="C338:C360"/>
    <mergeCell ref="D338:D360"/>
    <mergeCell ref="A363:A373"/>
    <mergeCell ref="B363:B373"/>
    <mergeCell ref="C363:C373"/>
    <mergeCell ref="D363:D373"/>
    <mergeCell ref="A290:A310"/>
    <mergeCell ref="B290:B310"/>
    <mergeCell ref="C290:C310"/>
    <mergeCell ref="D290:D310"/>
    <mergeCell ref="A313:A335"/>
    <mergeCell ref="B313:B335"/>
    <mergeCell ref="C313:C335"/>
    <mergeCell ref="D313:D335"/>
    <mergeCell ref="A256:A266"/>
    <mergeCell ref="B256:B266"/>
    <mergeCell ref="C256:C266"/>
    <mergeCell ref="D256:D266"/>
    <mergeCell ref="A267:A287"/>
    <mergeCell ref="B267:B287"/>
    <mergeCell ref="C267:C287"/>
    <mergeCell ref="D267:D287"/>
    <mergeCell ref="A222:A235"/>
    <mergeCell ref="B222:B235"/>
    <mergeCell ref="C222:C235"/>
    <mergeCell ref="D222:D235"/>
    <mergeCell ref="A236:A255"/>
    <mergeCell ref="B236:B255"/>
    <mergeCell ref="C236:C255"/>
    <mergeCell ref="D236:D255"/>
    <mergeCell ref="A190:A201"/>
    <mergeCell ref="B190:B201"/>
    <mergeCell ref="C190:C201"/>
    <mergeCell ref="D190:D201"/>
    <mergeCell ref="A202:A221"/>
    <mergeCell ref="B202:B221"/>
    <mergeCell ref="C202:C221"/>
    <mergeCell ref="D202:D221"/>
    <mergeCell ref="A164:A177"/>
    <mergeCell ref="B164:B177"/>
    <mergeCell ref="C164:C177"/>
    <mergeCell ref="D164:D177"/>
    <mergeCell ref="A178:A189"/>
    <mergeCell ref="B178:B189"/>
    <mergeCell ref="C178:C184"/>
    <mergeCell ref="D178:D184"/>
    <mergeCell ref="C185:C189"/>
    <mergeCell ref="D185:D189"/>
    <mergeCell ref="A132:A144"/>
    <mergeCell ref="B132:B144"/>
    <mergeCell ref="C132:C144"/>
    <mergeCell ref="D132:D144"/>
    <mergeCell ref="A145:A161"/>
    <mergeCell ref="B145:B161"/>
    <mergeCell ref="C145:C161"/>
    <mergeCell ref="D145:D161"/>
    <mergeCell ref="A81:A119"/>
    <mergeCell ref="B81:B119"/>
    <mergeCell ref="C81:C119"/>
    <mergeCell ref="D81:D119"/>
    <mergeCell ref="A120:A131"/>
    <mergeCell ref="B120:B131"/>
    <mergeCell ref="C120:C131"/>
    <mergeCell ref="D120:D131"/>
    <mergeCell ref="A49:A62"/>
    <mergeCell ref="B49:B62"/>
    <mergeCell ref="C49:C62"/>
    <mergeCell ref="D49:D59"/>
    <mergeCell ref="D60:D62"/>
    <mergeCell ref="A63:A79"/>
    <mergeCell ref="B63:B79"/>
    <mergeCell ref="C63:C79"/>
    <mergeCell ref="D63:D79"/>
    <mergeCell ref="A24:A31"/>
    <mergeCell ref="B24:B31"/>
    <mergeCell ref="C24:D29"/>
    <mergeCell ref="A32:A46"/>
    <mergeCell ref="B32:B46"/>
    <mergeCell ref="C32:C46"/>
    <mergeCell ref="D32:D46"/>
    <mergeCell ref="B8:E8"/>
    <mergeCell ref="A9:J9"/>
    <mergeCell ref="A10:A23"/>
    <mergeCell ref="B10:B23"/>
    <mergeCell ref="C10:D15"/>
    <mergeCell ref="C17:C18"/>
    <mergeCell ref="C21:C23"/>
    <mergeCell ref="H1:J1"/>
    <mergeCell ref="A2:J2"/>
    <mergeCell ref="A4:J4"/>
    <mergeCell ref="A5:A6"/>
    <mergeCell ref="B5:B6"/>
    <mergeCell ref="C5:C6"/>
    <mergeCell ref="D5:D6"/>
    <mergeCell ref="E5:E6"/>
    <mergeCell ref="F5:F6"/>
    <mergeCell ref="G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  <rowBreaks count="22" manualBreakCount="22">
    <brk id="79" max="9" man="1"/>
    <brk id="189" max="9" man="1"/>
    <brk id="221" max="9" man="1"/>
    <brk id="312" max="9" man="1"/>
    <brk id="337" max="9" man="1"/>
    <brk id="373" max="9" man="1"/>
    <brk id="416" max="9" man="1"/>
    <brk id="495" max="9" man="1"/>
    <brk id="543" max="9" man="1"/>
    <brk id="592" max="9" man="1"/>
    <brk id="710" max="9" man="1"/>
    <brk id="748" max="9" man="1"/>
    <brk id="819" max="9" man="1"/>
    <brk id="984" max="9" man="1"/>
    <brk id="1081" max="9" man="1"/>
    <brk id="1138" max="9" man="1"/>
    <brk id="1183" max="9" man="1"/>
    <brk id="1293" max="9" man="1"/>
    <brk id="1316" max="9" man="1"/>
    <brk id="1362" max="9" man="1"/>
    <brk id="1435" max="9" man="1"/>
    <brk id="1518" max="9" man="1"/>
  </rowBreaks>
  <colBreaks count="1" manualBreakCount="1">
    <brk id="10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Q536"/>
  <sheetViews>
    <sheetView view="pageBreakPreview" zoomScaleNormal="100" zoomScaleSheetLayoutView="100" workbookViewId="0">
      <selection activeCell="J40" sqref="J40"/>
    </sheetView>
  </sheetViews>
  <sheetFormatPr defaultRowHeight="12.75"/>
  <cols>
    <col min="1" max="1" width="5.140625" style="118" customWidth="1"/>
    <col min="2" max="2" width="54.28515625" style="118" customWidth="1"/>
    <col min="3" max="3" width="7.140625" style="118" customWidth="1"/>
    <col min="4" max="4" width="10.140625" style="118" customWidth="1"/>
    <col min="5" max="5" width="11.28515625" style="118" customWidth="1"/>
    <col min="6" max="6" width="13.7109375" style="118" customWidth="1"/>
    <col min="7" max="7" width="10.140625" style="118" bestFit="1" customWidth="1"/>
    <col min="8" max="8" width="11.140625" style="118" bestFit="1" customWidth="1"/>
    <col min="9" max="9" width="10.140625" style="118" bestFit="1" customWidth="1"/>
    <col min="10" max="256" width="9.140625" style="118"/>
    <col min="257" max="257" width="5.140625" style="118" customWidth="1"/>
    <col min="258" max="258" width="46.85546875" style="118" customWidth="1"/>
    <col min="259" max="259" width="7.140625" style="118" customWidth="1"/>
    <col min="260" max="260" width="10.140625" style="118" customWidth="1"/>
    <col min="261" max="261" width="11.28515625" style="118" customWidth="1"/>
    <col min="262" max="262" width="13.7109375" style="118" customWidth="1"/>
    <col min="263" max="512" width="9.140625" style="118"/>
    <col min="513" max="513" width="5.140625" style="118" customWidth="1"/>
    <col min="514" max="514" width="46.85546875" style="118" customWidth="1"/>
    <col min="515" max="515" width="7.140625" style="118" customWidth="1"/>
    <col min="516" max="516" width="10.140625" style="118" customWidth="1"/>
    <col min="517" max="517" width="11.28515625" style="118" customWidth="1"/>
    <col min="518" max="518" width="13.7109375" style="118" customWidth="1"/>
    <col min="519" max="768" width="9.140625" style="118"/>
    <col min="769" max="769" width="5.140625" style="118" customWidth="1"/>
    <col min="770" max="770" width="46.85546875" style="118" customWidth="1"/>
    <col min="771" max="771" width="7.140625" style="118" customWidth="1"/>
    <col min="772" max="772" width="10.140625" style="118" customWidth="1"/>
    <col min="773" max="773" width="11.28515625" style="118" customWidth="1"/>
    <col min="774" max="774" width="13.7109375" style="118" customWidth="1"/>
    <col min="775" max="1024" width="9.140625" style="118"/>
    <col min="1025" max="1025" width="5.140625" style="118" customWidth="1"/>
    <col min="1026" max="1026" width="46.85546875" style="118" customWidth="1"/>
    <col min="1027" max="1027" width="7.140625" style="118" customWidth="1"/>
    <col min="1028" max="1028" width="10.140625" style="118" customWidth="1"/>
    <col min="1029" max="1029" width="11.28515625" style="118" customWidth="1"/>
    <col min="1030" max="1030" width="13.7109375" style="118" customWidth="1"/>
    <col min="1031" max="1280" width="9.140625" style="118"/>
    <col min="1281" max="1281" width="5.140625" style="118" customWidth="1"/>
    <col min="1282" max="1282" width="46.85546875" style="118" customWidth="1"/>
    <col min="1283" max="1283" width="7.140625" style="118" customWidth="1"/>
    <col min="1284" max="1284" width="10.140625" style="118" customWidth="1"/>
    <col min="1285" max="1285" width="11.28515625" style="118" customWidth="1"/>
    <col min="1286" max="1286" width="13.7109375" style="118" customWidth="1"/>
    <col min="1287" max="1536" width="9.140625" style="118"/>
    <col min="1537" max="1537" width="5.140625" style="118" customWidth="1"/>
    <col min="1538" max="1538" width="46.85546875" style="118" customWidth="1"/>
    <col min="1539" max="1539" width="7.140625" style="118" customWidth="1"/>
    <col min="1540" max="1540" width="10.140625" style="118" customWidth="1"/>
    <col min="1541" max="1541" width="11.28515625" style="118" customWidth="1"/>
    <col min="1542" max="1542" width="13.7109375" style="118" customWidth="1"/>
    <col min="1543" max="1792" width="9.140625" style="118"/>
    <col min="1793" max="1793" width="5.140625" style="118" customWidth="1"/>
    <col min="1794" max="1794" width="46.85546875" style="118" customWidth="1"/>
    <col min="1795" max="1795" width="7.140625" style="118" customWidth="1"/>
    <col min="1796" max="1796" width="10.140625" style="118" customWidth="1"/>
    <col min="1797" max="1797" width="11.28515625" style="118" customWidth="1"/>
    <col min="1798" max="1798" width="13.7109375" style="118" customWidth="1"/>
    <col min="1799" max="2048" width="9.140625" style="118"/>
    <col min="2049" max="2049" width="5.140625" style="118" customWidth="1"/>
    <col min="2050" max="2050" width="46.85546875" style="118" customWidth="1"/>
    <col min="2051" max="2051" width="7.140625" style="118" customWidth="1"/>
    <col min="2052" max="2052" width="10.140625" style="118" customWidth="1"/>
    <col min="2053" max="2053" width="11.28515625" style="118" customWidth="1"/>
    <col min="2054" max="2054" width="13.7109375" style="118" customWidth="1"/>
    <col min="2055" max="2304" width="9.140625" style="118"/>
    <col min="2305" max="2305" width="5.140625" style="118" customWidth="1"/>
    <col min="2306" max="2306" width="46.85546875" style="118" customWidth="1"/>
    <col min="2307" max="2307" width="7.140625" style="118" customWidth="1"/>
    <col min="2308" max="2308" width="10.140625" style="118" customWidth="1"/>
    <col min="2309" max="2309" width="11.28515625" style="118" customWidth="1"/>
    <col min="2310" max="2310" width="13.7109375" style="118" customWidth="1"/>
    <col min="2311" max="2560" width="9.140625" style="118"/>
    <col min="2561" max="2561" width="5.140625" style="118" customWidth="1"/>
    <col min="2562" max="2562" width="46.85546875" style="118" customWidth="1"/>
    <col min="2563" max="2563" width="7.140625" style="118" customWidth="1"/>
    <col min="2564" max="2564" width="10.140625" style="118" customWidth="1"/>
    <col min="2565" max="2565" width="11.28515625" style="118" customWidth="1"/>
    <col min="2566" max="2566" width="13.7109375" style="118" customWidth="1"/>
    <col min="2567" max="2816" width="9.140625" style="118"/>
    <col min="2817" max="2817" width="5.140625" style="118" customWidth="1"/>
    <col min="2818" max="2818" width="46.85546875" style="118" customWidth="1"/>
    <col min="2819" max="2819" width="7.140625" style="118" customWidth="1"/>
    <col min="2820" max="2820" width="10.140625" style="118" customWidth="1"/>
    <col min="2821" max="2821" width="11.28515625" style="118" customWidth="1"/>
    <col min="2822" max="2822" width="13.7109375" style="118" customWidth="1"/>
    <col min="2823" max="3072" width="9.140625" style="118"/>
    <col min="3073" max="3073" width="5.140625" style="118" customWidth="1"/>
    <col min="3074" max="3074" width="46.85546875" style="118" customWidth="1"/>
    <col min="3075" max="3075" width="7.140625" style="118" customWidth="1"/>
    <col min="3076" max="3076" width="10.140625" style="118" customWidth="1"/>
    <col min="3077" max="3077" width="11.28515625" style="118" customWidth="1"/>
    <col min="3078" max="3078" width="13.7109375" style="118" customWidth="1"/>
    <col min="3079" max="3328" width="9.140625" style="118"/>
    <col min="3329" max="3329" width="5.140625" style="118" customWidth="1"/>
    <col min="3330" max="3330" width="46.85546875" style="118" customWidth="1"/>
    <col min="3331" max="3331" width="7.140625" style="118" customWidth="1"/>
    <col min="3332" max="3332" width="10.140625" style="118" customWidth="1"/>
    <col min="3333" max="3333" width="11.28515625" style="118" customWidth="1"/>
    <col min="3334" max="3334" width="13.7109375" style="118" customWidth="1"/>
    <col min="3335" max="3584" width="9.140625" style="118"/>
    <col min="3585" max="3585" width="5.140625" style="118" customWidth="1"/>
    <col min="3586" max="3586" width="46.85546875" style="118" customWidth="1"/>
    <col min="3587" max="3587" width="7.140625" style="118" customWidth="1"/>
    <col min="3588" max="3588" width="10.140625" style="118" customWidth="1"/>
    <col min="3589" max="3589" width="11.28515625" style="118" customWidth="1"/>
    <col min="3590" max="3590" width="13.7109375" style="118" customWidth="1"/>
    <col min="3591" max="3840" width="9.140625" style="118"/>
    <col min="3841" max="3841" width="5.140625" style="118" customWidth="1"/>
    <col min="3842" max="3842" width="46.85546875" style="118" customWidth="1"/>
    <col min="3843" max="3843" width="7.140625" style="118" customWidth="1"/>
    <col min="3844" max="3844" width="10.140625" style="118" customWidth="1"/>
    <col min="3845" max="3845" width="11.28515625" style="118" customWidth="1"/>
    <col min="3846" max="3846" width="13.7109375" style="118" customWidth="1"/>
    <col min="3847" max="4096" width="9.140625" style="118"/>
    <col min="4097" max="4097" width="5.140625" style="118" customWidth="1"/>
    <col min="4098" max="4098" width="46.85546875" style="118" customWidth="1"/>
    <col min="4099" max="4099" width="7.140625" style="118" customWidth="1"/>
    <col min="4100" max="4100" width="10.140625" style="118" customWidth="1"/>
    <col min="4101" max="4101" width="11.28515625" style="118" customWidth="1"/>
    <col min="4102" max="4102" width="13.7109375" style="118" customWidth="1"/>
    <col min="4103" max="4352" width="9.140625" style="118"/>
    <col min="4353" max="4353" width="5.140625" style="118" customWidth="1"/>
    <col min="4354" max="4354" width="46.85546875" style="118" customWidth="1"/>
    <col min="4355" max="4355" width="7.140625" style="118" customWidth="1"/>
    <col min="4356" max="4356" width="10.140625" style="118" customWidth="1"/>
    <col min="4357" max="4357" width="11.28515625" style="118" customWidth="1"/>
    <col min="4358" max="4358" width="13.7109375" style="118" customWidth="1"/>
    <col min="4359" max="4608" width="9.140625" style="118"/>
    <col min="4609" max="4609" width="5.140625" style="118" customWidth="1"/>
    <col min="4610" max="4610" width="46.85546875" style="118" customWidth="1"/>
    <col min="4611" max="4611" width="7.140625" style="118" customWidth="1"/>
    <col min="4612" max="4612" width="10.140625" style="118" customWidth="1"/>
    <col min="4613" max="4613" width="11.28515625" style="118" customWidth="1"/>
    <col min="4614" max="4614" width="13.7109375" style="118" customWidth="1"/>
    <col min="4615" max="4864" width="9.140625" style="118"/>
    <col min="4865" max="4865" width="5.140625" style="118" customWidth="1"/>
    <col min="4866" max="4866" width="46.85546875" style="118" customWidth="1"/>
    <col min="4867" max="4867" width="7.140625" style="118" customWidth="1"/>
    <col min="4868" max="4868" width="10.140625" style="118" customWidth="1"/>
    <col min="4869" max="4869" width="11.28515625" style="118" customWidth="1"/>
    <col min="4870" max="4870" width="13.7109375" style="118" customWidth="1"/>
    <col min="4871" max="5120" width="9.140625" style="118"/>
    <col min="5121" max="5121" width="5.140625" style="118" customWidth="1"/>
    <col min="5122" max="5122" width="46.85546875" style="118" customWidth="1"/>
    <col min="5123" max="5123" width="7.140625" style="118" customWidth="1"/>
    <col min="5124" max="5124" width="10.140625" style="118" customWidth="1"/>
    <col min="5125" max="5125" width="11.28515625" style="118" customWidth="1"/>
    <col min="5126" max="5126" width="13.7109375" style="118" customWidth="1"/>
    <col min="5127" max="5376" width="9.140625" style="118"/>
    <col min="5377" max="5377" width="5.140625" style="118" customWidth="1"/>
    <col min="5378" max="5378" width="46.85546875" style="118" customWidth="1"/>
    <col min="5379" max="5379" width="7.140625" style="118" customWidth="1"/>
    <col min="5380" max="5380" width="10.140625" style="118" customWidth="1"/>
    <col min="5381" max="5381" width="11.28515625" style="118" customWidth="1"/>
    <col min="5382" max="5382" width="13.7109375" style="118" customWidth="1"/>
    <col min="5383" max="5632" width="9.140625" style="118"/>
    <col min="5633" max="5633" width="5.140625" style="118" customWidth="1"/>
    <col min="5634" max="5634" width="46.85546875" style="118" customWidth="1"/>
    <col min="5635" max="5635" width="7.140625" style="118" customWidth="1"/>
    <col min="5636" max="5636" width="10.140625" style="118" customWidth="1"/>
    <col min="5637" max="5637" width="11.28515625" style="118" customWidth="1"/>
    <col min="5638" max="5638" width="13.7109375" style="118" customWidth="1"/>
    <col min="5639" max="5888" width="9.140625" style="118"/>
    <col min="5889" max="5889" width="5.140625" style="118" customWidth="1"/>
    <col min="5890" max="5890" width="46.85546875" style="118" customWidth="1"/>
    <col min="5891" max="5891" width="7.140625" style="118" customWidth="1"/>
    <col min="5892" max="5892" width="10.140625" style="118" customWidth="1"/>
    <col min="5893" max="5893" width="11.28515625" style="118" customWidth="1"/>
    <col min="5894" max="5894" width="13.7109375" style="118" customWidth="1"/>
    <col min="5895" max="6144" width="9.140625" style="118"/>
    <col min="6145" max="6145" width="5.140625" style="118" customWidth="1"/>
    <col min="6146" max="6146" width="46.85546875" style="118" customWidth="1"/>
    <col min="6147" max="6147" width="7.140625" style="118" customWidth="1"/>
    <col min="6148" max="6148" width="10.140625" style="118" customWidth="1"/>
    <col min="6149" max="6149" width="11.28515625" style="118" customWidth="1"/>
    <col min="6150" max="6150" width="13.7109375" style="118" customWidth="1"/>
    <col min="6151" max="6400" width="9.140625" style="118"/>
    <col min="6401" max="6401" width="5.140625" style="118" customWidth="1"/>
    <col min="6402" max="6402" width="46.85546875" style="118" customWidth="1"/>
    <col min="6403" max="6403" width="7.140625" style="118" customWidth="1"/>
    <col min="6404" max="6404" width="10.140625" style="118" customWidth="1"/>
    <col min="6405" max="6405" width="11.28515625" style="118" customWidth="1"/>
    <col min="6406" max="6406" width="13.7109375" style="118" customWidth="1"/>
    <col min="6407" max="6656" width="9.140625" style="118"/>
    <col min="6657" max="6657" width="5.140625" style="118" customWidth="1"/>
    <col min="6658" max="6658" width="46.85546875" style="118" customWidth="1"/>
    <col min="6659" max="6659" width="7.140625" style="118" customWidth="1"/>
    <col min="6660" max="6660" width="10.140625" style="118" customWidth="1"/>
    <col min="6661" max="6661" width="11.28515625" style="118" customWidth="1"/>
    <col min="6662" max="6662" width="13.7109375" style="118" customWidth="1"/>
    <col min="6663" max="6912" width="9.140625" style="118"/>
    <col min="6913" max="6913" width="5.140625" style="118" customWidth="1"/>
    <col min="6914" max="6914" width="46.85546875" style="118" customWidth="1"/>
    <col min="6915" max="6915" width="7.140625" style="118" customWidth="1"/>
    <col min="6916" max="6916" width="10.140625" style="118" customWidth="1"/>
    <col min="6917" max="6917" width="11.28515625" style="118" customWidth="1"/>
    <col min="6918" max="6918" width="13.7109375" style="118" customWidth="1"/>
    <col min="6919" max="7168" width="9.140625" style="118"/>
    <col min="7169" max="7169" width="5.140625" style="118" customWidth="1"/>
    <col min="7170" max="7170" width="46.85546875" style="118" customWidth="1"/>
    <col min="7171" max="7171" width="7.140625" style="118" customWidth="1"/>
    <col min="7172" max="7172" width="10.140625" style="118" customWidth="1"/>
    <col min="7173" max="7173" width="11.28515625" style="118" customWidth="1"/>
    <col min="7174" max="7174" width="13.7109375" style="118" customWidth="1"/>
    <col min="7175" max="7424" width="9.140625" style="118"/>
    <col min="7425" max="7425" width="5.140625" style="118" customWidth="1"/>
    <col min="7426" max="7426" width="46.85546875" style="118" customWidth="1"/>
    <col min="7427" max="7427" width="7.140625" style="118" customWidth="1"/>
    <col min="7428" max="7428" width="10.140625" style="118" customWidth="1"/>
    <col min="7429" max="7429" width="11.28515625" style="118" customWidth="1"/>
    <col min="7430" max="7430" width="13.7109375" style="118" customWidth="1"/>
    <col min="7431" max="7680" width="9.140625" style="118"/>
    <col min="7681" max="7681" width="5.140625" style="118" customWidth="1"/>
    <col min="7682" max="7682" width="46.85546875" style="118" customWidth="1"/>
    <col min="7683" max="7683" width="7.140625" style="118" customWidth="1"/>
    <col min="7684" max="7684" width="10.140625" style="118" customWidth="1"/>
    <col min="7685" max="7685" width="11.28515625" style="118" customWidth="1"/>
    <col min="7686" max="7686" width="13.7109375" style="118" customWidth="1"/>
    <col min="7687" max="7936" width="9.140625" style="118"/>
    <col min="7937" max="7937" width="5.140625" style="118" customWidth="1"/>
    <col min="7938" max="7938" width="46.85546875" style="118" customWidth="1"/>
    <col min="7939" max="7939" width="7.140625" style="118" customWidth="1"/>
    <col min="7940" max="7940" width="10.140625" style="118" customWidth="1"/>
    <col min="7941" max="7941" width="11.28515625" style="118" customWidth="1"/>
    <col min="7942" max="7942" width="13.7109375" style="118" customWidth="1"/>
    <col min="7943" max="8192" width="9.140625" style="118"/>
    <col min="8193" max="8193" width="5.140625" style="118" customWidth="1"/>
    <col min="8194" max="8194" width="46.85546875" style="118" customWidth="1"/>
    <col min="8195" max="8195" width="7.140625" style="118" customWidth="1"/>
    <col min="8196" max="8196" width="10.140625" style="118" customWidth="1"/>
    <col min="8197" max="8197" width="11.28515625" style="118" customWidth="1"/>
    <col min="8198" max="8198" width="13.7109375" style="118" customWidth="1"/>
    <col min="8199" max="8448" width="9.140625" style="118"/>
    <col min="8449" max="8449" width="5.140625" style="118" customWidth="1"/>
    <col min="8450" max="8450" width="46.85546875" style="118" customWidth="1"/>
    <col min="8451" max="8451" width="7.140625" style="118" customWidth="1"/>
    <col min="8452" max="8452" width="10.140625" style="118" customWidth="1"/>
    <col min="8453" max="8453" width="11.28515625" style="118" customWidth="1"/>
    <col min="8454" max="8454" width="13.7109375" style="118" customWidth="1"/>
    <col min="8455" max="8704" width="9.140625" style="118"/>
    <col min="8705" max="8705" width="5.140625" style="118" customWidth="1"/>
    <col min="8706" max="8706" width="46.85546875" style="118" customWidth="1"/>
    <col min="8707" max="8707" width="7.140625" style="118" customWidth="1"/>
    <col min="8708" max="8708" width="10.140625" style="118" customWidth="1"/>
    <col min="8709" max="8709" width="11.28515625" style="118" customWidth="1"/>
    <col min="8710" max="8710" width="13.7109375" style="118" customWidth="1"/>
    <col min="8711" max="8960" width="9.140625" style="118"/>
    <col min="8961" max="8961" width="5.140625" style="118" customWidth="1"/>
    <col min="8962" max="8962" width="46.85546875" style="118" customWidth="1"/>
    <col min="8963" max="8963" width="7.140625" style="118" customWidth="1"/>
    <col min="8964" max="8964" width="10.140625" style="118" customWidth="1"/>
    <col min="8965" max="8965" width="11.28515625" style="118" customWidth="1"/>
    <col min="8966" max="8966" width="13.7109375" style="118" customWidth="1"/>
    <col min="8967" max="9216" width="9.140625" style="118"/>
    <col min="9217" max="9217" width="5.140625" style="118" customWidth="1"/>
    <col min="9218" max="9218" width="46.85546875" style="118" customWidth="1"/>
    <col min="9219" max="9219" width="7.140625" style="118" customWidth="1"/>
    <col min="9220" max="9220" width="10.140625" style="118" customWidth="1"/>
    <col min="9221" max="9221" width="11.28515625" style="118" customWidth="1"/>
    <col min="9222" max="9222" width="13.7109375" style="118" customWidth="1"/>
    <col min="9223" max="9472" width="9.140625" style="118"/>
    <col min="9473" max="9473" width="5.140625" style="118" customWidth="1"/>
    <col min="9474" max="9474" width="46.85546875" style="118" customWidth="1"/>
    <col min="9475" max="9475" width="7.140625" style="118" customWidth="1"/>
    <col min="9476" max="9476" width="10.140625" style="118" customWidth="1"/>
    <col min="9477" max="9477" width="11.28515625" style="118" customWidth="1"/>
    <col min="9478" max="9478" width="13.7109375" style="118" customWidth="1"/>
    <col min="9479" max="9728" width="9.140625" style="118"/>
    <col min="9729" max="9729" width="5.140625" style="118" customWidth="1"/>
    <col min="9730" max="9730" width="46.85546875" style="118" customWidth="1"/>
    <col min="9731" max="9731" width="7.140625" style="118" customWidth="1"/>
    <col min="9732" max="9732" width="10.140625" style="118" customWidth="1"/>
    <col min="9733" max="9733" width="11.28515625" style="118" customWidth="1"/>
    <col min="9734" max="9734" width="13.7109375" style="118" customWidth="1"/>
    <col min="9735" max="9984" width="9.140625" style="118"/>
    <col min="9985" max="9985" width="5.140625" style="118" customWidth="1"/>
    <col min="9986" max="9986" width="46.85546875" style="118" customWidth="1"/>
    <col min="9987" max="9987" width="7.140625" style="118" customWidth="1"/>
    <col min="9988" max="9988" width="10.140625" style="118" customWidth="1"/>
    <col min="9989" max="9989" width="11.28515625" style="118" customWidth="1"/>
    <col min="9990" max="9990" width="13.7109375" style="118" customWidth="1"/>
    <col min="9991" max="10240" width="9.140625" style="118"/>
    <col min="10241" max="10241" width="5.140625" style="118" customWidth="1"/>
    <col min="10242" max="10242" width="46.85546875" style="118" customWidth="1"/>
    <col min="10243" max="10243" width="7.140625" style="118" customWidth="1"/>
    <col min="10244" max="10244" width="10.140625" style="118" customWidth="1"/>
    <col min="10245" max="10245" width="11.28515625" style="118" customWidth="1"/>
    <col min="10246" max="10246" width="13.7109375" style="118" customWidth="1"/>
    <col min="10247" max="10496" width="9.140625" style="118"/>
    <col min="10497" max="10497" width="5.140625" style="118" customWidth="1"/>
    <col min="10498" max="10498" width="46.85546875" style="118" customWidth="1"/>
    <col min="10499" max="10499" width="7.140625" style="118" customWidth="1"/>
    <col min="10500" max="10500" width="10.140625" style="118" customWidth="1"/>
    <col min="10501" max="10501" width="11.28515625" style="118" customWidth="1"/>
    <col min="10502" max="10502" width="13.7109375" style="118" customWidth="1"/>
    <col min="10503" max="10752" width="9.140625" style="118"/>
    <col min="10753" max="10753" width="5.140625" style="118" customWidth="1"/>
    <col min="10754" max="10754" width="46.85546875" style="118" customWidth="1"/>
    <col min="10755" max="10755" width="7.140625" style="118" customWidth="1"/>
    <col min="10756" max="10756" width="10.140625" style="118" customWidth="1"/>
    <col min="10757" max="10757" width="11.28515625" style="118" customWidth="1"/>
    <col min="10758" max="10758" width="13.7109375" style="118" customWidth="1"/>
    <col min="10759" max="11008" width="9.140625" style="118"/>
    <col min="11009" max="11009" width="5.140625" style="118" customWidth="1"/>
    <col min="11010" max="11010" width="46.85546875" style="118" customWidth="1"/>
    <col min="11011" max="11011" width="7.140625" style="118" customWidth="1"/>
    <col min="11012" max="11012" width="10.140625" style="118" customWidth="1"/>
    <col min="11013" max="11013" width="11.28515625" style="118" customWidth="1"/>
    <col min="11014" max="11014" width="13.7109375" style="118" customWidth="1"/>
    <col min="11015" max="11264" width="9.140625" style="118"/>
    <col min="11265" max="11265" width="5.140625" style="118" customWidth="1"/>
    <col min="11266" max="11266" width="46.85546875" style="118" customWidth="1"/>
    <col min="11267" max="11267" width="7.140625" style="118" customWidth="1"/>
    <col min="11268" max="11268" width="10.140625" style="118" customWidth="1"/>
    <col min="11269" max="11269" width="11.28515625" style="118" customWidth="1"/>
    <col min="11270" max="11270" width="13.7109375" style="118" customWidth="1"/>
    <col min="11271" max="11520" width="9.140625" style="118"/>
    <col min="11521" max="11521" width="5.140625" style="118" customWidth="1"/>
    <col min="11522" max="11522" width="46.85546875" style="118" customWidth="1"/>
    <col min="11523" max="11523" width="7.140625" style="118" customWidth="1"/>
    <col min="11524" max="11524" width="10.140625" style="118" customWidth="1"/>
    <col min="11525" max="11525" width="11.28515625" style="118" customWidth="1"/>
    <col min="11526" max="11526" width="13.7109375" style="118" customWidth="1"/>
    <col min="11527" max="11776" width="9.140625" style="118"/>
    <col min="11777" max="11777" width="5.140625" style="118" customWidth="1"/>
    <col min="11778" max="11778" width="46.85546875" style="118" customWidth="1"/>
    <col min="11779" max="11779" width="7.140625" style="118" customWidth="1"/>
    <col min="11780" max="11780" width="10.140625" style="118" customWidth="1"/>
    <col min="11781" max="11781" width="11.28515625" style="118" customWidth="1"/>
    <col min="11782" max="11782" width="13.7109375" style="118" customWidth="1"/>
    <col min="11783" max="12032" width="9.140625" style="118"/>
    <col min="12033" max="12033" width="5.140625" style="118" customWidth="1"/>
    <col min="12034" max="12034" width="46.85546875" style="118" customWidth="1"/>
    <col min="12035" max="12035" width="7.140625" style="118" customWidth="1"/>
    <col min="12036" max="12036" width="10.140625" style="118" customWidth="1"/>
    <col min="12037" max="12037" width="11.28515625" style="118" customWidth="1"/>
    <col min="12038" max="12038" width="13.7109375" style="118" customWidth="1"/>
    <col min="12039" max="12288" width="9.140625" style="118"/>
    <col min="12289" max="12289" width="5.140625" style="118" customWidth="1"/>
    <col min="12290" max="12290" width="46.85546875" style="118" customWidth="1"/>
    <col min="12291" max="12291" width="7.140625" style="118" customWidth="1"/>
    <col min="12292" max="12292" width="10.140625" style="118" customWidth="1"/>
    <col min="12293" max="12293" width="11.28515625" style="118" customWidth="1"/>
    <col min="12294" max="12294" width="13.7109375" style="118" customWidth="1"/>
    <col min="12295" max="12544" width="9.140625" style="118"/>
    <col min="12545" max="12545" width="5.140625" style="118" customWidth="1"/>
    <col min="12546" max="12546" width="46.85546875" style="118" customWidth="1"/>
    <col min="12547" max="12547" width="7.140625" style="118" customWidth="1"/>
    <col min="12548" max="12548" width="10.140625" style="118" customWidth="1"/>
    <col min="12549" max="12549" width="11.28515625" style="118" customWidth="1"/>
    <col min="12550" max="12550" width="13.7109375" style="118" customWidth="1"/>
    <col min="12551" max="12800" width="9.140625" style="118"/>
    <col min="12801" max="12801" width="5.140625" style="118" customWidth="1"/>
    <col min="12802" max="12802" width="46.85546875" style="118" customWidth="1"/>
    <col min="12803" max="12803" width="7.140625" style="118" customWidth="1"/>
    <col min="12804" max="12804" width="10.140625" style="118" customWidth="1"/>
    <col min="12805" max="12805" width="11.28515625" style="118" customWidth="1"/>
    <col min="12806" max="12806" width="13.7109375" style="118" customWidth="1"/>
    <col min="12807" max="13056" width="9.140625" style="118"/>
    <col min="13057" max="13057" width="5.140625" style="118" customWidth="1"/>
    <col min="13058" max="13058" width="46.85546875" style="118" customWidth="1"/>
    <col min="13059" max="13059" width="7.140625" style="118" customWidth="1"/>
    <col min="13060" max="13060" width="10.140625" style="118" customWidth="1"/>
    <col min="13061" max="13061" width="11.28515625" style="118" customWidth="1"/>
    <col min="13062" max="13062" width="13.7109375" style="118" customWidth="1"/>
    <col min="13063" max="13312" width="9.140625" style="118"/>
    <col min="13313" max="13313" width="5.140625" style="118" customWidth="1"/>
    <col min="13314" max="13314" width="46.85546875" style="118" customWidth="1"/>
    <col min="13315" max="13315" width="7.140625" style="118" customWidth="1"/>
    <col min="13316" max="13316" width="10.140625" style="118" customWidth="1"/>
    <col min="13317" max="13317" width="11.28515625" style="118" customWidth="1"/>
    <col min="13318" max="13318" width="13.7109375" style="118" customWidth="1"/>
    <col min="13319" max="13568" width="9.140625" style="118"/>
    <col min="13569" max="13569" width="5.140625" style="118" customWidth="1"/>
    <col min="13570" max="13570" width="46.85546875" style="118" customWidth="1"/>
    <col min="13571" max="13571" width="7.140625" style="118" customWidth="1"/>
    <col min="13572" max="13572" width="10.140625" style="118" customWidth="1"/>
    <col min="13573" max="13573" width="11.28515625" style="118" customWidth="1"/>
    <col min="13574" max="13574" width="13.7109375" style="118" customWidth="1"/>
    <col min="13575" max="13824" width="9.140625" style="118"/>
    <col min="13825" max="13825" width="5.140625" style="118" customWidth="1"/>
    <col min="13826" max="13826" width="46.85546875" style="118" customWidth="1"/>
    <col min="13827" max="13827" width="7.140625" style="118" customWidth="1"/>
    <col min="13828" max="13828" width="10.140625" style="118" customWidth="1"/>
    <col min="13829" max="13829" width="11.28515625" style="118" customWidth="1"/>
    <col min="13830" max="13830" width="13.7109375" style="118" customWidth="1"/>
    <col min="13831" max="14080" width="9.140625" style="118"/>
    <col min="14081" max="14081" width="5.140625" style="118" customWidth="1"/>
    <col min="14082" max="14082" width="46.85546875" style="118" customWidth="1"/>
    <col min="14083" max="14083" width="7.140625" style="118" customWidth="1"/>
    <col min="14084" max="14084" width="10.140625" style="118" customWidth="1"/>
    <col min="14085" max="14085" width="11.28515625" style="118" customWidth="1"/>
    <col min="14086" max="14086" width="13.7109375" style="118" customWidth="1"/>
    <col min="14087" max="14336" width="9.140625" style="118"/>
    <col min="14337" max="14337" width="5.140625" style="118" customWidth="1"/>
    <col min="14338" max="14338" width="46.85546875" style="118" customWidth="1"/>
    <col min="14339" max="14339" width="7.140625" style="118" customWidth="1"/>
    <col min="14340" max="14340" width="10.140625" style="118" customWidth="1"/>
    <col min="14341" max="14341" width="11.28515625" style="118" customWidth="1"/>
    <col min="14342" max="14342" width="13.7109375" style="118" customWidth="1"/>
    <col min="14343" max="14592" width="9.140625" style="118"/>
    <col min="14593" max="14593" width="5.140625" style="118" customWidth="1"/>
    <col min="14594" max="14594" width="46.85546875" style="118" customWidth="1"/>
    <col min="14595" max="14595" width="7.140625" style="118" customWidth="1"/>
    <col min="14596" max="14596" width="10.140625" style="118" customWidth="1"/>
    <col min="14597" max="14597" width="11.28515625" style="118" customWidth="1"/>
    <col min="14598" max="14598" width="13.7109375" style="118" customWidth="1"/>
    <col min="14599" max="14848" width="9.140625" style="118"/>
    <col min="14849" max="14849" width="5.140625" style="118" customWidth="1"/>
    <col min="14850" max="14850" width="46.85546875" style="118" customWidth="1"/>
    <col min="14851" max="14851" width="7.140625" style="118" customWidth="1"/>
    <col min="14852" max="14852" width="10.140625" style="118" customWidth="1"/>
    <col min="14853" max="14853" width="11.28515625" style="118" customWidth="1"/>
    <col min="14854" max="14854" width="13.7109375" style="118" customWidth="1"/>
    <col min="14855" max="15104" width="9.140625" style="118"/>
    <col min="15105" max="15105" width="5.140625" style="118" customWidth="1"/>
    <col min="15106" max="15106" width="46.85546875" style="118" customWidth="1"/>
    <col min="15107" max="15107" width="7.140625" style="118" customWidth="1"/>
    <col min="15108" max="15108" width="10.140625" style="118" customWidth="1"/>
    <col min="15109" max="15109" width="11.28515625" style="118" customWidth="1"/>
    <col min="15110" max="15110" width="13.7109375" style="118" customWidth="1"/>
    <col min="15111" max="15360" width="9.140625" style="118"/>
    <col min="15361" max="15361" width="5.140625" style="118" customWidth="1"/>
    <col min="15362" max="15362" width="46.85546875" style="118" customWidth="1"/>
    <col min="15363" max="15363" width="7.140625" style="118" customWidth="1"/>
    <col min="15364" max="15364" width="10.140625" style="118" customWidth="1"/>
    <col min="15365" max="15365" width="11.28515625" style="118" customWidth="1"/>
    <col min="15366" max="15366" width="13.7109375" style="118" customWidth="1"/>
    <col min="15367" max="15616" width="9.140625" style="118"/>
    <col min="15617" max="15617" width="5.140625" style="118" customWidth="1"/>
    <col min="15618" max="15618" width="46.85546875" style="118" customWidth="1"/>
    <col min="15619" max="15619" width="7.140625" style="118" customWidth="1"/>
    <col min="15620" max="15620" width="10.140625" style="118" customWidth="1"/>
    <col min="15621" max="15621" width="11.28515625" style="118" customWidth="1"/>
    <col min="15622" max="15622" width="13.7109375" style="118" customWidth="1"/>
    <col min="15623" max="15872" width="9.140625" style="118"/>
    <col min="15873" max="15873" width="5.140625" style="118" customWidth="1"/>
    <col min="15874" max="15874" width="46.85546875" style="118" customWidth="1"/>
    <col min="15875" max="15875" width="7.140625" style="118" customWidth="1"/>
    <col min="15876" max="15876" width="10.140625" style="118" customWidth="1"/>
    <col min="15877" max="15877" width="11.28515625" style="118" customWidth="1"/>
    <col min="15878" max="15878" width="13.7109375" style="118" customWidth="1"/>
    <col min="15879" max="16128" width="9.140625" style="118"/>
    <col min="16129" max="16129" width="5.140625" style="118" customWidth="1"/>
    <col min="16130" max="16130" width="46.85546875" style="118" customWidth="1"/>
    <col min="16131" max="16131" width="7.140625" style="118" customWidth="1"/>
    <col min="16132" max="16132" width="10.140625" style="118" customWidth="1"/>
    <col min="16133" max="16133" width="11.28515625" style="118" customWidth="1"/>
    <col min="16134" max="16134" width="13.7109375" style="118" customWidth="1"/>
    <col min="16135" max="16384" width="9.140625" style="118"/>
  </cols>
  <sheetData>
    <row r="1" spans="1:6" ht="50.25" customHeight="1">
      <c r="A1" s="3982"/>
      <c r="B1" s="3982"/>
      <c r="C1" s="3983" t="s">
        <v>1451</v>
      </c>
      <c r="D1" s="3983"/>
      <c r="E1" s="3983"/>
      <c r="F1" s="3983"/>
    </row>
    <row r="2" spans="1:6" ht="15">
      <c r="A2" s="3984" t="s">
        <v>149</v>
      </c>
      <c r="B2" s="3984"/>
      <c r="C2" s="3984"/>
      <c r="D2" s="3984"/>
      <c r="E2" s="3984"/>
      <c r="F2" s="3984"/>
    </row>
    <row r="3" spans="1:6" ht="9" customHeight="1">
      <c r="A3" s="244"/>
      <c r="B3" s="244"/>
      <c r="C3" s="244"/>
      <c r="D3" s="244"/>
      <c r="E3" s="244"/>
      <c r="F3" s="244"/>
    </row>
    <row r="4" spans="1:6" ht="15" thickBot="1">
      <c r="A4" s="3985" t="s">
        <v>150</v>
      </c>
      <c r="B4" s="3985"/>
      <c r="C4" s="3985"/>
      <c r="D4" s="3985"/>
      <c r="E4" s="3985"/>
      <c r="F4" s="3985"/>
    </row>
    <row r="5" spans="1:6" ht="35.25" customHeight="1" thickBot="1">
      <c r="A5" s="245" t="s">
        <v>84</v>
      </c>
      <c r="B5" s="245" t="s">
        <v>151</v>
      </c>
      <c r="C5" s="245" t="s">
        <v>0</v>
      </c>
      <c r="D5" s="245" t="s">
        <v>30</v>
      </c>
      <c r="E5" s="245" t="s">
        <v>2</v>
      </c>
      <c r="F5" s="246" t="s">
        <v>152</v>
      </c>
    </row>
    <row r="6" spans="1:6">
      <c r="A6" s="247">
        <v>1</v>
      </c>
      <c r="B6" s="248" t="s">
        <v>153</v>
      </c>
      <c r="C6" s="3986">
        <v>921</v>
      </c>
      <c r="D6" s="3980">
        <v>92118</v>
      </c>
      <c r="E6" s="3980">
        <v>2480</v>
      </c>
      <c r="F6" s="249">
        <v>6068551</v>
      </c>
    </row>
    <row r="7" spans="1:6">
      <c r="A7" s="250">
        <v>2</v>
      </c>
      <c r="B7" s="251" t="s">
        <v>154</v>
      </c>
      <c r="C7" s="3987"/>
      <c r="D7" s="3981"/>
      <c r="E7" s="3981"/>
      <c r="F7" s="252">
        <v>4349049</v>
      </c>
    </row>
    <row r="8" spans="1:6">
      <c r="A8" s="250">
        <v>3</v>
      </c>
      <c r="B8" s="251" t="s">
        <v>155</v>
      </c>
      <c r="C8" s="3987"/>
      <c r="D8" s="3981"/>
      <c r="E8" s="3981"/>
      <c r="F8" s="253">
        <v>4709170</v>
      </c>
    </row>
    <row r="9" spans="1:6">
      <c r="A9" s="250">
        <v>4</v>
      </c>
      <c r="B9" s="251" t="s">
        <v>156</v>
      </c>
      <c r="C9" s="3987"/>
      <c r="D9" s="3981"/>
      <c r="E9" s="3981"/>
      <c r="F9" s="253">
        <f>3196582+44500</f>
        <v>3241082</v>
      </c>
    </row>
    <row r="10" spans="1:6" ht="15" customHeight="1">
      <c r="A10" s="250">
        <v>5</v>
      </c>
      <c r="B10" s="251" t="s">
        <v>157</v>
      </c>
      <c r="C10" s="3987"/>
      <c r="D10" s="3981"/>
      <c r="E10" s="3981"/>
      <c r="F10" s="253">
        <v>4630863</v>
      </c>
    </row>
    <row r="11" spans="1:6">
      <c r="A11" s="250">
        <v>6</v>
      </c>
      <c r="B11" s="251" t="s">
        <v>158</v>
      </c>
      <c r="C11" s="3987"/>
      <c r="D11" s="3981"/>
      <c r="E11" s="3981"/>
      <c r="F11" s="253">
        <v>4587165</v>
      </c>
    </row>
    <row r="12" spans="1:6">
      <c r="A12" s="254">
        <v>7</v>
      </c>
      <c r="B12" s="255" t="s">
        <v>159</v>
      </c>
      <c r="C12" s="3987"/>
      <c r="D12" s="3981"/>
      <c r="E12" s="3981"/>
      <c r="F12" s="256">
        <v>1264440</v>
      </c>
    </row>
    <row r="13" spans="1:6" ht="25.5">
      <c r="A13" s="257">
        <v>8</v>
      </c>
      <c r="B13" s="258" t="s">
        <v>160</v>
      </c>
      <c r="C13" s="3987"/>
      <c r="D13" s="3981"/>
      <c r="E13" s="3981"/>
      <c r="F13" s="256">
        <v>293434</v>
      </c>
    </row>
    <row r="14" spans="1:6" ht="13.5" thickBot="1">
      <c r="A14" s="259">
        <v>9</v>
      </c>
      <c r="B14" s="260" t="s">
        <v>161</v>
      </c>
      <c r="C14" s="3987"/>
      <c r="D14" s="3989"/>
      <c r="E14" s="3981"/>
      <c r="F14" s="261">
        <v>1007052</v>
      </c>
    </row>
    <row r="15" spans="1:6" ht="13.5" thickBot="1">
      <c r="A15" s="3990" t="s">
        <v>162</v>
      </c>
      <c r="B15" s="3991"/>
      <c r="C15" s="3987"/>
      <c r="D15" s="262">
        <v>92118</v>
      </c>
      <c r="E15" s="3981"/>
      <c r="F15" s="263">
        <f>SUM(F6:F14)</f>
        <v>30150806</v>
      </c>
    </row>
    <row r="16" spans="1:6">
      <c r="A16" s="264">
        <v>10</v>
      </c>
      <c r="B16" s="248" t="s">
        <v>163</v>
      </c>
      <c r="C16" s="3987"/>
      <c r="D16" s="3992">
        <v>92109</v>
      </c>
      <c r="E16" s="3981"/>
      <c r="F16" s="265">
        <v>7223493</v>
      </c>
    </row>
    <row r="17" spans="1:10" ht="13.5" thickBot="1">
      <c r="A17" s="254">
        <v>11</v>
      </c>
      <c r="B17" s="255" t="s">
        <v>164</v>
      </c>
      <c r="C17" s="3987"/>
      <c r="D17" s="3993"/>
      <c r="E17" s="3981"/>
      <c r="F17" s="256">
        <v>3515416</v>
      </c>
      <c r="G17" s="266"/>
    </row>
    <row r="18" spans="1:10" ht="13.5" thickBot="1">
      <c r="A18" s="3990" t="s">
        <v>165</v>
      </c>
      <c r="B18" s="3991"/>
      <c r="C18" s="3987"/>
      <c r="D18" s="262">
        <v>92109</v>
      </c>
      <c r="E18" s="3981"/>
      <c r="F18" s="263">
        <f>SUM(F16:F17)</f>
        <v>10738909</v>
      </c>
    </row>
    <row r="19" spans="1:10">
      <c r="A19" s="264">
        <v>12</v>
      </c>
      <c r="B19" s="248" t="s">
        <v>166</v>
      </c>
      <c r="C19" s="3987"/>
      <c r="D19" s="267">
        <v>92106</v>
      </c>
      <c r="E19" s="3981"/>
      <c r="F19" s="265">
        <v>6585406</v>
      </c>
    </row>
    <row r="20" spans="1:10">
      <c r="A20" s="250">
        <v>13</v>
      </c>
      <c r="B20" s="251" t="s">
        <v>167</v>
      </c>
      <c r="C20" s="3987"/>
      <c r="D20" s="268">
        <v>92108</v>
      </c>
      <c r="E20" s="3981"/>
      <c r="F20" s="269">
        <v>7947006</v>
      </c>
    </row>
    <row r="21" spans="1:10">
      <c r="A21" s="250">
        <v>14</v>
      </c>
      <c r="B21" s="251" t="s">
        <v>168</v>
      </c>
      <c r="C21" s="3987"/>
      <c r="D21" s="268">
        <v>92110</v>
      </c>
      <c r="E21" s="3981"/>
      <c r="F21" s="269">
        <v>732312</v>
      </c>
    </row>
    <row r="22" spans="1:10" ht="17.25" customHeight="1">
      <c r="A22" s="250">
        <v>15</v>
      </c>
      <c r="B22" s="251" t="s">
        <v>169</v>
      </c>
      <c r="C22" s="3987"/>
      <c r="D22" s="268">
        <v>92114</v>
      </c>
      <c r="E22" s="3981"/>
      <c r="F22" s="269">
        <v>2001346</v>
      </c>
    </row>
    <row r="23" spans="1:10" ht="26.25" thickBot="1">
      <c r="A23" s="270">
        <v>16</v>
      </c>
      <c r="B23" s="255" t="s">
        <v>170</v>
      </c>
      <c r="C23" s="3988"/>
      <c r="D23" s="271">
        <v>92116</v>
      </c>
      <c r="E23" s="3989"/>
      <c r="F23" s="272">
        <v>9787618</v>
      </c>
      <c r="G23" s="266"/>
      <c r="H23" s="266"/>
      <c r="J23" s="273"/>
    </row>
    <row r="24" spans="1:10" ht="15.75" thickBot="1">
      <c r="A24" s="3974" t="s">
        <v>171</v>
      </c>
      <c r="B24" s="3975"/>
      <c r="C24" s="3975"/>
      <c r="D24" s="3976"/>
      <c r="E24" s="274"/>
      <c r="F24" s="275">
        <f>SUM(F15,F18,F19:F23)</f>
        <v>67943403</v>
      </c>
      <c r="G24" s="266"/>
    </row>
    <row r="25" spans="1:10" ht="25.5">
      <c r="A25" s="276">
        <v>17</v>
      </c>
      <c r="B25" s="277" t="s">
        <v>172</v>
      </c>
      <c r="C25" s="3994">
        <v>851</v>
      </c>
      <c r="D25" s="3980">
        <v>85111</v>
      </c>
      <c r="E25" s="3996">
        <v>2560</v>
      </c>
      <c r="F25" s="249">
        <f>70000+1925000</f>
        <v>1995000</v>
      </c>
    </row>
    <row r="26" spans="1:10" ht="25.5">
      <c r="A26" s="276">
        <v>18</v>
      </c>
      <c r="B26" s="277" t="s">
        <v>173</v>
      </c>
      <c r="C26" s="3994"/>
      <c r="D26" s="3981"/>
      <c r="E26" s="3996"/>
      <c r="F26" s="249">
        <v>160000</v>
      </c>
    </row>
    <row r="27" spans="1:10" ht="15" customHeight="1">
      <c r="A27" s="276">
        <v>19</v>
      </c>
      <c r="B27" s="277" t="s">
        <v>174</v>
      </c>
      <c r="C27" s="3994"/>
      <c r="D27" s="3981"/>
      <c r="E27" s="3996"/>
      <c r="F27" s="249">
        <v>12000</v>
      </c>
    </row>
    <row r="28" spans="1:10" ht="14.25" customHeight="1">
      <c r="A28" s="276">
        <v>20</v>
      </c>
      <c r="B28" s="278" t="s">
        <v>175</v>
      </c>
      <c r="C28" s="3994"/>
      <c r="D28" s="3981"/>
      <c r="E28" s="3996"/>
      <c r="F28" s="252">
        <v>80000</v>
      </c>
    </row>
    <row r="29" spans="1:10" ht="15" hidden="1" customHeight="1" thickBot="1">
      <c r="A29" s="257">
        <v>20</v>
      </c>
      <c r="B29" s="260" t="s">
        <v>176</v>
      </c>
      <c r="C29" s="3994"/>
      <c r="D29" s="3981"/>
      <c r="E29" s="3996"/>
      <c r="F29" s="253"/>
      <c r="G29" s="266"/>
    </row>
    <row r="30" spans="1:10" ht="26.25" thickBot="1">
      <c r="A30" s="270">
        <v>21</v>
      </c>
      <c r="B30" s="279" t="s">
        <v>177</v>
      </c>
      <c r="C30" s="3994"/>
      <c r="D30" s="3989"/>
      <c r="E30" s="3996"/>
      <c r="F30" s="280">
        <v>395880</v>
      </c>
      <c r="G30" s="266"/>
    </row>
    <row r="31" spans="1:10" s="283" customFormat="1" ht="15" customHeight="1" thickBot="1">
      <c r="A31" s="3998" t="s">
        <v>178</v>
      </c>
      <c r="B31" s="3999"/>
      <c r="C31" s="3994"/>
      <c r="D31" s="281">
        <v>85111</v>
      </c>
      <c r="E31" s="3996"/>
      <c r="F31" s="282">
        <f>SUM(F25:F30)</f>
        <v>2642880</v>
      </c>
    </row>
    <row r="32" spans="1:10" ht="28.5" customHeight="1">
      <c r="A32" s="247">
        <v>22</v>
      </c>
      <c r="B32" s="284" t="s">
        <v>179</v>
      </c>
      <c r="C32" s="3994"/>
      <c r="D32" s="285">
        <v>85120</v>
      </c>
      <c r="E32" s="3996"/>
      <c r="F32" s="286">
        <v>30000</v>
      </c>
    </row>
    <row r="33" spans="1:8" ht="28.5" customHeight="1">
      <c r="A33" s="250">
        <v>23</v>
      </c>
      <c r="B33" s="278" t="s">
        <v>180</v>
      </c>
      <c r="C33" s="3994"/>
      <c r="D33" s="287">
        <v>85121</v>
      </c>
      <c r="E33" s="3996"/>
      <c r="F33" s="288">
        <v>550000</v>
      </c>
    </row>
    <row r="34" spans="1:8" ht="28.5" customHeight="1" thickBot="1">
      <c r="A34" s="270">
        <v>24</v>
      </c>
      <c r="B34" s="260" t="s">
        <v>181</v>
      </c>
      <c r="C34" s="3995"/>
      <c r="D34" s="289">
        <v>85148</v>
      </c>
      <c r="E34" s="3997"/>
      <c r="F34" s="290">
        <v>1102550</v>
      </c>
    </row>
    <row r="35" spans="1:8" ht="15.75" thickBot="1">
      <c r="A35" s="3974" t="s">
        <v>182</v>
      </c>
      <c r="B35" s="3975"/>
      <c r="C35" s="3975"/>
      <c r="D35" s="3976"/>
      <c r="E35" s="291"/>
      <c r="F35" s="275">
        <f>SUM(F31:F34)</f>
        <v>4325430</v>
      </c>
      <c r="G35" s="266"/>
    </row>
    <row r="36" spans="1:8" ht="13.5" thickBot="1">
      <c r="A36" s="292">
        <v>25</v>
      </c>
      <c r="B36" s="293" t="s">
        <v>183</v>
      </c>
      <c r="C36" s="292">
        <v>853</v>
      </c>
      <c r="D36" s="294">
        <v>85311</v>
      </c>
      <c r="E36" s="295">
        <v>2570</v>
      </c>
      <c r="F36" s="296">
        <v>111112</v>
      </c>
    </row>
    <row r="37" spans="1:8" ht="15.75" thickBot="1">
      <c r="A37" s="3974" t="s">
        <v>184</v>
      </c>
      <c r="B37" s="3975"/>
      <c r="C37" s="3975"/>
      <c r="D37" s="3976"/>
      <c r="E37" s="297"/>
      <c r="F37" s="275">
        <f>SUM(F36:F36)</f>
        <v>111112</v>
      </c>
    </row>
    <row r="38" spans="1:8" ht="22.5" customHeight="1" thickBot="1">
      <c r="A38" s="3971" t="s">
        <v>185</v>
      </c>
      <c r="B38" s="3972"/>
      <c r="C38" s="3972"/>
      <c r="D38" s="3973"/>
      <c r="E38" s="298"/>
      <c r="F38" s="299">
        <f>SUM(F24,F35,F37)</f>
        <v>72379945</v>
      </c>
      <c r="G38" s="266"/>
      <c r="H38" s="266"/>
    </row>
    <row r="39" spans="1:8" ht="10.5" customHeight="1">
      <c r="A39" s="300"/>
      <c r="B39" s="301"/>
      <c r="C39" s="301"/>
      <c r="D39" s="301"/>
      <c r="E39" s="301"/>
      <c r="F39" s="302"/>
    </row>
    <row r="40" spans="1:8" ht="15" thickBot="1">
      <c r="A40" s="3977" t="s">
        <v>186</v>
      </c>
      <c r="B40" s="3977"/>
      <c r="C40" s="3977"/>
      <c r="D40" s="3977"/>
      <c r="E40" s="3977"/>
      <c r="F40" s="3977"/>
    </row>
    <row r="41" spans="1:8" ht="30.75" thickBot="1">
      <c r="A41" s="291" t="s">
        <v>84</v>
      </c>
      <c r="B41" s="274" t="s">
        <v>151</v>
      </c>
      <c r="C41" s="291" t="s">
        <v>0</v>
      </c>
      <c r="D41" s="274" t="s">
        <v>30</v>
      </c>
      <c r="E41" s="291" t="s">
        <v>2</v>
      </c>
      <c r="F41" s="303" t="s">
        <v>152</v>
      </c>
    </row>
    <row r="42" spans="1:8">
      <c r="A42" s="304">
        <v>1</v>
      </c>
      <c r="B42" s="305" t="s">
        <v>187</v>
      </c>
      <c r="C42" s="3978">
        <v>853</v>
      </c>
      <c r="D42" s="3978">
        <v>85311</v>
      </c>
      <c r="E42" s="3980">
        <v>2580</v>
      </c>
      <c r="F42" s="306">
        <v>208334</v>
      </c>
      <c r="H42" s="266"/>
    </row>
    <row r="43" spans="1:8">
      <c r="A43" s="307">
        <v>2</v>
      </c>
      <c r="B43" s="308" t="s">
        <v>188</v>
      </c>
      <c r="C43" s="3979"/>
      <c r="D43" s="3979"/>
      <c r="E43" s="3981"/>
      <c r="F43" s="309">
        <v>261112</v>
      </c>
    </row>
    <row r="44" spans="1:8">
      <c r="A44" s="307">
        <v>3</v>
      </c>
      <c r="B44" s="308" t="s">
        <v>189</v>
      </c>
      <c r="C44" s="3979"/>
      <c r="D44" s="3979"/>
      <c r="E44" s="3981"/>
      <c r="F44" s="309">
        <v>169445</v>
      </c>
    </row>
    <row r="45" spans="1:8">
      <c r="A45" s="307">
        <v>4</v>
      </c>
      <c r="B45" s="308" t="s">
        <v>190</v>
      </c>
      <c r="C45" s="3979"/>
      <c r="D45" s="3979"/>
      <c r="E45" s="3981"/>
      <c r="F45" s="309">
        <v>313889</v>
      </c>
    </row>
    <row r="46" spans="1:8">
      <c r="A46" s="307">
        <v>5</v>
      </c>
      <c r="B46" s="308" t="s">
        <v>191</v>
      </c>
      <c r="C46" s="3979"/>
      <c r="D46" s="3979"/>
      <c r="E46" s="3981"/>
      <c r="F46" s="309">
        <v>88889</v>
      </c>
    </row>
    <row r="47" spans="1:8">
      <c r="A47" s="307">
        <v>6</v>
      </c>
      <c r="B47" s="308" t="s">
        <v>192</v>
      </c>
      <c r="C47" s="3979"/>
      <c r="D47" s="3979"/>
      <c r="E47" s="3981"/>
      <c r="F47" s="309">
        <v>208334</v>
      </c>
    </row>
    <row r="48" spans="1:8">
      <c r="A48" s="310">
        <v>7</v>
      </c>
      <c r="B48" s="311" t="s">
        <v>193</v>
      </c>
      <c r="C48" s="3979"/>
      <c r="D48" s="3979"/>
      <c r="E48" s="3981"/>
      <c r="F48" s="312">
        <v>147223</v>
      </c>
    </row>
    <row r="49" spans="1:9">
      <c r="A49" s="310">
        <v>8</v>
      </c>
      <c r="B49" s="313" t="s">
        <v>194</v>
      </c>
      <c r="C49" s="3979"/>
      <c r="D49" s="3979"/>
      <c r="E49" s="3981"/>
      <c r="F49" s="312">
        <v>111112</v>
      </c>
    </row>
    <row r="50" spans="1:9">
      <c r="A50" s="307">
        <v>9</v>
      </c>
      <c r="B50" s="313" t="s">
        <v>195</v>
      </c>
      <c r="C50" s="3979"/>
      <c r="D50" s="3979"/>
      <c r="E50" s="3981"/>
      <c r="F50" s="312">
        <v>152778</v>
      </c>
    </row>
    <row r="51" spans="1:9">
      <c r="A51" s="310">
        <v>10</v>
      </c>
      <c r="B51" s="311" t="s">
        <v>196</v>
      </c>
      <c r="C51" s="3979"/>
      <c r="D51" s="3979"/>
      <c r="E51" s="3981"/>
      <c r="F51" s="312">
        <v>177778</v>
      </c>
    </row>
    <row r="52" spans="1:9">
      <c r="A52" s="310">
        <v>11</v>
      </c>
      <c r="B52" s="311" t="s">
        <v>197</v>
      </c>
      <c r="C52" s="3979"/>
      <c r="D52" s="3979"/>
      <c r="E52" s="3981"/>
      <c r="F52" s="312">
        <v>94445</v>
      </c>
    </row>
    <row r="53" spans="1:9" ht="13.5" thickBot="1">
      <c r="A53" s="310">
        <v>12</v>
      </c>
      <c r="B53" s="311" t="s">
        <v>198</v>
      </c>
      <c r="C53" s="3979"/>
      <c r="D53" s="3979"/>
      <c r="E53" s="3981"/>
      <c r="F53" s="312">
        <v>116667</v>
      </c>
      <c r="I53" s="266"/>
    </row>
    <row r="54" spans="1:9" ht="15.75" thickBot="1">
      <c r="A54" s="3968" t="s">
        <v>184</v>
      </c>
      <c r="B54" s="3969"/>
      <c r="C54" s="3969"/>
      <c r="D54" s="3970"/>
      <c r="E54" s="314"/>
      <c r="F54" s="315">
        <f>SUM(F42:F53)</f>
        <v>2050006</v>
      </c>
      <c r="G54" s="266"/>
    </row>
    <row r="55" spans="1:9" ht="20.25" customHeight="1" thickBot="1">
      <c r="A55" s="3971" t="s">
        <v>185</v>
      </c>
      <c r="B55" s="3972"/>
      <c r="C55" s="3972"/>
      <c r="D55" s="3972"/>
      <c r="E55" s="3973"/>
      <c r="F55" s="316">
        <f>SUM(F54)</f>
        <v>2050006</v>
      </c>
      <c r="G55" s="266"/>
      <c r="H55" s="266"/>
    </row>
    <row r="57" spans="1:9">
      <c r="F57" s="266"/>
      <c r="G57" s="266"/>
      <c r="H57" s="266"/>
      <c r="I57" s="266"/>
    </row>
    <row r="58" spans="1:9">
      <c r="F58" s="266"/>
      <c r="G58" s="266"/>
      <c r="H58" s="266"/>
      <c r="I58" s="266"/>
    </row>
    <row r="59" spans="1:9">
      <c r="F59" s="266"/>
      <c r="G59" s="266"/>
      <c r="H59" s="266"/>
      <c r="I59" s="266"/>
    </row>
    <row r="60" spans="1:9">
      <c r="F60" s="266"/>
      <c r="G60" s="266"/>
      <c r="H60" s="266"/>
      <c r="I60" s="266"/>
    </row>
    <row r="61" spans="1:9">
      <c r="F61" s="266"/>
      <c r="G61" s="266"/>
      <c r="H61" s="266"/>
      <c r="I61" s="266"/>
    </row>
    <row r="62" spans="1:9">
      <c r="F62" s="266"/>
      <c r="G62" s="266"/>
      <c r="H62" s="266"/>
      <c r="I62" s="266"/>
    </row>
    <row r="63" spans="1:9">
      <c r="F63" s="266"/>
      <c r="G63" s="266"/>
      <c r="H63" s="266"/>
      <c r="I63" s="266"/>
    </row>
    <row r="64" spans="1:9">
      <c r="B64" s="317"/>
      <c r="F64" s="266"/>
      <c r="G64" s="266"/>
      <c r="H64" s="266"/>
      <c r="I64" s="266"/>
    </row>
    <row r="65" spans="2:2">
      <c r="B65" s="317"/>
    </row>
    <row r="66" spans="2:2">
      <c r="B66" s="317"/>
    </row>
    <row r="536" spans="17:17">
      <c r="Q536" s="118">
        <f>P536-O536</f>
        <v>0</v>
      </c>
    </row>
  </sheetData>
  <mergeCells count="24">
    <mergeCell ref="A35:D35"/>
    <mergeCell ref="A1:B1"/>
    <mergeCell ref="C1:F1"/>
    <mergeCell ref="A2:F2"/>
    <mergeCell ref="A4:F4"/>
    <mergeCell ref="C6:C23"/>
    <mergeCell ref="D6:D14"/>
    <mergeCell ref="E6:E23"/>
    <mergeCell ref="A15:B15"/>
    <mergeCell ref="D16:D17"/>
    <mergeCell ref="A18:B18"/>
    <mergeCell ref="A24:D24"/>
    <mergeCell ref="C25:C34"/>
    <mergeCell ref="D25:D30"/>
    <mergeCell ref="E25:E34"/>
    <mergeCell ref="A31:B31"/>
    <mergeCell ref="A54:D54"/>
    <mergeCell ref="A55:E55"/>
    <mergeCell ref="A37:D37"/>
    <mergeCell ref="A38:D38"/>
    <mergeCell ref="A40:F40"/>
    <mergeCell ref="C42:C53"/>
    <mergeCell ref="D42:D53"/>
    <mergeCell ref="E42:E5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Strona &amp;P z &amp;N</oddFooter>
  </headerFooter>
  <rowBreaks count="1" manualBreakCount="1">
    <brk id="3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  <pageSetUpPr fitToPage="1"/>
  </sheetPr>
  <dimension ref="A1:Q540"/>
  <sheetViews>
    <sheetView view="pageBreakPreview" zoomScale="90" zoomScaleNormal="100" zoomScaleSheetLayoutView="90" workbookViewId="0">
      <selection activeCell="J36" sqref="J36"/>
    </sheetView>
  </sheetViews>
  <sheetFormatPr defaultRowHeight="12.75"/>
  <cols>
    <col min="1" max="1" width="6.28515625" style="118" customWidth="1"/>
    <col min="2" max="2" width="33.28515625" style="118" customWidth="1"/>
    <col min="3" max="3" width="9.140625" style="118"/>
    <col min="4" max="4" width="10.28515625" style="118" customWidth="1"/>
    <col min="5" max="5" width="13.7109375" style="193" customWidth="1"/>
    <col min="6" max="6" width="12.28515625" style="118" customWidth="1"/>
    <col min="7" max="8" width="13.7109375" style="118" customWidth="1"/>
    <col min="9" max="9" width="66.42578125" style="118" customWidth="1"/>
    <col min="10" max="10" width="20.28515625" style="118" customWidth="1"/>
    <col min="11" max="11" width="16.140625" style="118" customWidth="1"/>
    <col min="12" max="256" width="9.140625" style="118"/>
    <col min="257" max="257" width="6.28515625" style="118" customWidth="1"/>
    <col min="258" max="258" width="34.42578125" style="118" customWidth="1"/>
    <col min="259" max="259" width="9.140625" style="118"/>
    <col min="260" max="260" width="10.28515625" style="118" customWidth="1"/>
    <col min="261" max="262" width="12.7109375" style="118" customWidth="1"/>
    <col min="263" max="263" width="11.85546875" style="118" customWidth="1"/>
    <col min="264" max="264" width="15.140625" style="118" customWidth="1"/>
    <col min="265" max="265" width="49" style="118" customWidth="1"/>
    <col min="266" max="512" width="9.140625" style="118"/>
    <col min="513" max="513" width="6.28515625" style="118" customWidth="1"/>
    <col min="514" max="514" width="34.42578125" style="118" customWidth="1"/>
    <col min="515" max="515" width="9.140625" style="118"/>
    <col min="516" max="516" width="10.28515625" style="118" customWidth="1"/>
    <col min="517" max="518" width="12.7109375" style="118" customWidth="1"/>
    <col min="519" max="519" width="11.85546875" style="118" customWidth="1"/>
    <col min="520" max="520" width="15.140625" style="118" customWidth="1"/>
    <col min="521" max="521" width="49" style="118" customWidth="1"/>
    <col min="522" max="768" width="9.140625" style="118"/>
    <col min="769" max="769" width="6.28515625" style="118" customWidth="1"/>
    <col min="770" max="770" width="34.42578125" style="118" customWidth="1"/>
    <col min="771" max="771" width="9.140625" style="118"/>
    <col min="772" max="772" width="10.28515625" style="118" customWidth="1"/>
    <col min="773" max="774" width="12.7109375" style="118" customWidth="1"/>
    <col min="775" max="775" width="11.85546875" style="118" customWidth="1"/>
    <col min="776" max="776" width="15.140625" style="118" customWidth="1"/>
    <col min="777" max="777" width="49" style="118" customWidth="1"/>
    <col min="778" max="1024" width="9.140625" style="118"/>
    <col min="1025" max="1025" width="6.28515625" style="118" customWidth="1"/>
    <col min="1026" max="1026" width="34.42578125" style="118" customWidth="1"/>
    <col min="1027" max="1027" width="9.140625" style="118"/>
    <col min="1028" max="1028" width="10.28515625" style="118" customWidth="1"/>
    <col min="1029" max="1030" width="12.7109375" style="118" customWidth="1"/>
    <col min="1031" max="1031" width="11.85546875" style="118" customWidth="1"/>
    <col min="1032" max="1032" width="15.140625" style="118" customWidth="1"/>
    <col min="1033" max="1033" width="49" style="118" customWidth="1"/>
    <col min="1034" max="1280" width="9.140625" style="118"/>
    <col min="1281" max="1281" width="6.28515625" style="118" customWidth="1"/>
    <col min="1282" max="1282" width="34.42578125" style="118" customWidth="1"/>
    <col min="1283" max="1283" width="9.140625" style="118"/>
    <col min="1284" max="1284" width="10.28515625" style="118" customWidth="1"/>
    <col min="1285" max="1286" width="12.7109375" style="118" customWidth="1"/>
    <col min="1287" max="1287" width="11.85546875" style="118" customWidth="1"/>
    <col min="1288" max="1288" width="15.140625" style="118" customWidth="1"/>
    <col min="1289" max="1289" width="49" style="118" customWidth="1"/>
    <col min="1290" max="1536" width="9.140625" style="118"/>
    <col min="1537" max="1537" width="6.28515625" style="118" customWidth="1"/>
    <col min="1538" max="1538" width="34.42578125" style="118" customWidth="1"/>
    <col min="1539" max="1539" width="9.140625" style="118"/>
    <col min="1540" max="1540" width="10.28515625" style="118" customWidth="1"/>
    <col min="1541" max="1542" width="12.7109375" style="118" customWidth="1"/>
    <col min="1543" max="1543" width="11.85546875" style="118" customWidth="1"/>
    <col min="1544" max="1544" width="15.140625" style="118" customWidth="1"/>
    <col min="1545" max="1545" width="49" style="118" customWidth="1"/>
    <col min="1546" max="1792" width="9.140625" style="118"/>
    <col min="1793" max="1793" width="6.28515625" style="118" customWidth="1"/>
    <col min="1794" max="1794" width="34.42578125" style="118" customWidth="1"/>
    <col min="1795" max="1795" width="9.140625" style="118"/>
    <col min="1796" max="1796" width="10.28515625" style="118" customWidth="1"/>
    <col min="1797" max="1798" width="12.7109375" style="118" customWidth="1"/>
    <col min="1799" max="1799" width="11.85546875" style="118" customWidth="1"/>
    <col min="1800" max="1800" width="15.140625" style="118" customWidth="1"/>
    <col min="1801" max="1801" width="49" style="118" customWidth="1"/>
    <col min="1802" max="2048" width="9.140625" style="118"/>
    <col min="2049" max="2049" width="6.28515625" style="118" customWidth="1"/>
    <col min="2050" max="2050" width="34.42578125" style="118" customWidth="1"/>
    <col min="2051" max="2051" width="9.140625" style="118"/>
    <col min="2052" max="2052" width="10.28515625" style="118" customWidth="1"/>
    <col min="2053" max="2054" width="12.7109375" style="118" customWidth="1"/>
    <col min="2055" max="2055" width="11.85546875" style="118" customWidth="1"/>
    <col min="2056" max="2056" width="15.140625" style="118" customWidth="1"/>
    <col min="2057" max="2057" width="49" style="118" customWidth="1"/>
    <col min="2058" max="2304" width="9.140625" style="118"/>
    <col min="2305" max="2305" width="6.28515625" style="118" customWidth="1"/>
    <col min="2306" max="2306" width="34.42578125" style="118" customWidth="1"/>
    <col min="2307" max="2307" width="9.140625" style="118"/>
    <col min="2308" max="2308" width="10.28515625" style="118" customWidth="1"/>
    <col min="2309" max="2310" width="12.7109375" style="118" customWidth="1"/>
    <col min="2311" max="2311" width="11.85546875" style="118" customWidth="1"/>
    <col min="2312" max="2312" width="15.140625" style="118" customWidth="1"/>
    <col min="2313" max="2313" width="49" style="118" customWidth="1"/>
    <col min="2314" max="2560" width="9.140625" style="118"/>
    <col min="2561" max="2561" width="6.28515625" style="118" customWidth="1"/>
    <col min="2562" max="2562" width="34.42578125" style="118" customWidth="1"/>
    <col min="2563" max="2563" width="9.140625" style="118"/>
    <col min="2564" max="2564" width="10.28515625" style="118" customWidth="1"/>
    <col min="2565" max="2566" width="12.7109375" style="118" customWidth="1"/>
    <col min="2567" max="2567" width="11.85546875" style="118" customWidth="1"/>
    <col min="2568" max="2568" width="15.140625" style="118" customWidth="1"/>
    <col min="2569" max="2569" width="49" style="118" customWidth="1"/>
    <col min="2570" max="2816" width="9.140625" style="118"/>
    <col min="2817" max="2817" width="6.28515625" style="118" customWidth="1"/>
    <col min="2818" max="2818" width="34.42578125" style="118" customWidth="1"/>
    <col min="2819" max="2819" width="9.140625" style="118"/>
    <col min="2820" max="2820" width="10.28515625" style="118" customWidth="1"/>
    <col min="2821" max="2822" width="12.7109375" style="118" customWidth="1"/>
    <col min="2823" max="2823" width="11.85546875" style="118" customWidth="1"/>
    <col min="2824" max="2824" width="15.140625" style="118" customWidth="1"/>
    <col min="2825" max="2825" width="49" style="118" customWidth="1"/>
    <col min="2826" max="3072" width="9.140625" style="118"/>
    <col min="3073" max="3073" width="6.28515625" style="118" customWidth="1"/>
    <col min="3074" max="3074" width="34.42578125" style="118" customWidth="1"/>
    <col min="3075" max="3075" width="9.140625" style="118"/>
    <col min="3076" max="3076" width="10.28515625" style="118" customWidth="1"/>
    <col min="3077" max="3078" width="12.7109375" style="118" customWidth="1"/>
    <col min="3079" max="3079" width="11.85546875" style="118" customWidth="1"/>
    <col min="3080" max="3080" width="15.140625" style="118" customWidth="1"/>
    <col min="3081" max="3081" width="49" style="118" customWidth="1"/>
    <col min="3082" max="3328" width="9.140625" style="118"/>
    <col min="3329" max="3329" width="6.28515625" style="118" customWidth="1"/>
    <col min="3330" max="3330" width="34.42578125" style="118" customWidth="1"/>
    <col min="3331" max="3331" width="9.140625" style="118"/>
    <col min="3332" max="3332" width="10.28515625" style="118" customWidth="1"/>
    <col min="3333" max="3334" width="12.7109375" style="118" customWidth="1"/>
    <col min="3335" max="3335" width="11.85546875" style="118" customWidth="1"/>
    <col min="3336" max="3336" width="15.140625" style="118" customWidth="1"/>
    <col min="3337" max="3337" width="49" style="118" customWidth="1"/>
    <col min="3338" max="3584" width="9.140625" style="118"/>
    <col min="3585" max="3585" width="6.28515625" style="118" customWidth="1"/>
    <col min="3586" max="3586" width="34.42578125" style="118" customWidth="1"/>
    <col min="3587" max="3587" width="9.140625" style="118"/>
    <col min="3588" max="3588" width="10.28515625" style="118" customWidth="1"/>
    <col min="3589" max="3590" width="12.7109375" style="118" customWidth="1"/>
    <col min="3591" max="3591" width="11.85546875" style="118" customWidth="1"/>
    <col min="3592" max="3592" width="15.140625" style="118" customWidth="1"/>
    <col min="3593" max="3593" width="49" style="118" customWidth="1"/>
    <col min="3594" max="3840" width="9.140625" style="118"/>
    <col min="3841" max="3841" width="6.28515625" style="118" customWidth="1"/>
    <col min="3842" max="3842" width="34.42578125" style="118" customWidth="1"/>
    <col min="3843" max="3843" width="9.140625" style="118"/>
    <col min="3844" max="3844" width="10.28515625" style="118" customWidth="1"/>
    <col min="3845" max="3846" width="12.7109375" style="118" customWidth="1"/>
    <col min="3847" max="3847" width="11.85546875" style="118" customWidth="1"/>
    <col min="3848" max="3848" width="15.140625" style="118" customWidth="1"/>
    <col min="3849" max="3849" width="49" style="118" customWidth="1"/>
    <col min="3850" max="4096" width="9.140625" style="118"/>
    <col min="4097" max="4097" width="6.28515625" style="118" customWidth="1"/>
    <col min="4098" max="4098" width="34.42578125" style="118" customWidth="1"/>
    <col min="4099" max="4099" width="9.140625" style="118"/>
    <col min="4100" max="4100" width="10.28515625" style="118" customWidth="1"/>
    <col min="4101" max="4102" width="12.7109375" style="118" customWidth="1"/>
    <col min="4103" max="4103" width="11.85546875" style="118" customWidth="1"/>
    <col min="4104" max="4104" width="15.140625" style="118" customWidth="1"/>
    <col min="4105" max="4105" width="49" style="118" customWidth="1"/>
    <col min="4106" max="4352" width="9.140625" style="118"/>
    <col min="4353" max="4353" width="6.28515625" style="118" customWidth="1"/>
    <col min="4354" max="4354" width="34.42578125" style="118" customWidth="1"/>
    <col min="4355" max="4355" width="9.140625" style="118"/>
    <col min="4356" max="4356" width="10.28515625" style="118" customWidth="1"/>
    <col min="4357" max="4358" width="12.7109375" style="118" customWidth="1"/>
    <col min="4359" max="4359" width="11.85546875" style="118" customWidth="1"/>
    <col min="4360" max="4360" width="15.140625" style="118" customWidth="1"/>
    <col min="4361" max="4361" width="49" style="118" customWidth="1"/>
    <col min="4362" max="4608" width="9.140625" style="118"/>
    <col min="4609" max="4609" width="6.28515625" style="118" customWidth="1"/>
    <col min="4610" max="4610" width="34.42578125" style="118" customWidth="1"/>
    <col min="4611" max="4611" width="9.140625" style="118"/>
    <col min="4612" max="4612" width="10.28515625" style="118" customWidth="1"/>
    <col min="4613" max="4614" width="12.7109375" style="118" customWidth="1"/>
    <col min="4615" max="4615" width="11.85546875" style="118" customWidth="1"/>
    <col min="4616" max="4616" width="15.140625" style="118" customWidth="1"/>
    <col min="4617" max="4617" width="49" style="118" customWidth="1"/>
    <col min="4618" max="4864" width="9.140625" style="118"/>
    <col min="4865" max="4865" width="6.28515625" style="118" customWidth="1"/>
    <col min="4866" max="4866" width="34.42578125" style="118" customWidth="1"/>
    <col min="4867" max="4867" width="9.140625" style="118"/>
    <col min="4868" max="4868" width="10.28515625" style="118" customWidth="1"/>
    <col min="4869" max="4870" width="12.7109375" style="118" customWidth="1"/>
    <col min="4871" max="4871" width="11.85546875" style="118" customWidth="1"/>
    <col min="4872" max="4872" width="15.140625" style="118" customWidth="1"/>
    <col min="4873" max="4873" width="49" style="118" customWidth="1"/>
    <col min="4874" max="5120" width="9.140625" style="118"/>
    <col min="5121" max="5121" width="6.28515625" style="118" customWidth="1"/>
    <col min="5122" max="5122" width="34.42578125" style="118" customWidth="1"/>
    <col min="5123" max="5123" width="9.140625" style="118"/>
    <col min="5124" max="5124" width="10.28515625" style="118" customWidth="1"/>
    <col min="5125" max="5126" width="12.7109375" style="118" customWidth="1"/>
    <col min="5127" max="5127" width="11.85546875" style="118" customWidth="1"/>
    <col min="5128" max="5128" width="15.140625" style="118" customWidth="1"/>
    <col min="5129" max="5129" width="49" style="118" customWidth="1"/>
    <col min="5130" max="5376" width="9.140625" style="118"/>
    <col min="5377" max="5377" width="6.28515625" style="118" customWidth="1"/>
    <col min="5378" max="5378" width="34.42578125" style="118" customWidth="1"/>
    <col min="5379" max="5379" width="9.140625" style="118"/>
    <col min="5380" max="5380" width="10.28515625" style="118" customWidth="1"/>
    <col min="5381" max="5382" width="12.7109375" style="118" customWidth="1"/>
    <col min="5383" max="5383" width="11.85546875" style="118" customWidth="1"/>
    <col min="5384" max="5384" width="15.140625" style="118" customWidth="1"/>
    <col min="5385" max="5385" width="49" style="118" customWidth="1"/>
    <col min="5386" max="5632" width="9.140625" style="118"/>
    <col min="5633" max="5633" width="6.28515625" style="118" customWidth="1"/>
    <col min="5634" max="5634" width="34.42578125" style="118" customWidth="1"/>
    <col min="5635" max="5635" width="9.140625" style="118"/>
    <col min="5636" max="5636" width="10.28515625" style="118" customWidth="1"/>
    <col min="5637" max="5638" width="12.7109375" style="118" customWidth="1"/>
    <col min="5639" max="5639" width="11.85546875" style="118" customWidth="1"/>
    <col min="5640" max="5640" width="15.140625" style="118" customWidth="1"/>
    <col min="5641" max="5641" width="49" style="118" customWidth="1"/>
    <col min="5642" max="5888" width="9.140625" style="118"/>
    <col min="5889" max="5889" width="6.28515625" style="118" customWidth="1"/>
    <col min="5890" max="5890" width="34.42578125" style="118" customWidth="1"/>
    <col min="5891" max="5891" width="9.140625" style="118"/>
    <col min="5892" max="5892" width="10.28515625" style="118" customWidth="1"/>
    <col min="5893" max="5894" width="12.7109375" style="118" customWidth="1"/>
    <col min="5895" max="5895" width="11.85546875" style="118" customWidth="1"/>
    <col min="5896" max="5896" width="15.140625" style="118" customWidth="1"/>
    <col min="5897" max="5897" width="49" style="118" customWidth="1"/>
    <col min="5898" max="6144" width="9.140625" style="118"/>
    <col min="6145" max="6145" width="6.28515625" style="118" customWidth="1"/>
    <col min="6146" max="6146" width="34.42578125" style="118" customWidth="1"/>
    <col min="6147" max="6147" width="9.140625" style="118"/>
    <col min="6148" max="6148" width="10.28515625" style="118" customWidth="1"/>
    <col min="6149" max="6150" width="12.7109375" style="118" customWidth="1"/>
    <col min="6151" max="6151" width="11.85546875" style="118" customWidth="1"/>
    <col min="6152" max="6152" width="15.140625" style="118" customWidth="1"/>
    <col min="6153" max="6153" width="49" style="118" customWidth="1"/>
    <col min="6154" max="6400" width="9.140625" style="118"/>
    <col min="6401" max="6401" width="6.28515625" style="118" customWidth="1"/>
    <col min="6402" max="6402" width="34.42578125" style="118" customWidth="1"/>
    <col min="6403" max="6403" width="9.140625" style="118"/>
    <col min="6404" max="6404" width="10.28515625" style="118" customWidth="1"/>
    <col min="6405" max="6406" width="12.7109375" style="118" customWidth="1"/>
    <col min="6407" max="6407" width="11.85546875" style="118" customWidth="1"/>
    <col min="6408" max="6408" width="15.140625" style="118" customWidth="1"/>
    <col min="6409" max="6409" width="49" style="118" customWidth="1"/>
    <col min="6410" max="6656" width="9.140625" style="118"/>
    <col min="6657" max="6657" width="6.28515625" style="118" customWidth="1"/>
    <col min="6658" max="6658" width="34.42578125" style="118" customWidth="1"/>
    <col min="6659" max="6659" width="9.140625" style="118"/>
    <col min="6660" max="6660" width="10.28515625" style="118" customWidth="1"/>
    <col min="6661" max="6662" width="12.7109375" style="118" customWidth="1"/>
    <col min="6663" max="6663" width="11.85546875" style="118" customWidth="1"/>
    <col min="6664" max="6664" width="15.140625" style="118" customWidth="1"/>
    <col min="6665" max="6665" width="49" style="118" customWidth="1"/>
    <col min="6666" max="6912" width="9.140625" style="118"/>
    <col min="6913" max="6913" width="6.28515625" style="118" customWidth="1"/>
    <col min="6914" max="6914" width="34.42578125" style="118" customWidth="1"/>
    <col min="6915" max="6915" width="9.140625" style="118"/>
    <col min="6916" max="6916" width="10.28515625" style="118" customWidth="1"/>
    <col min="6917" max="6918" width="12.7109375" style="118" customWidth="1"/>
    <col min="6919" max="6919" width="11.85546875" style="118" customWidth="1"/>
    <col min="6920" max="6920" width="15.140625" style="118" customWidth="1"/>
    <col min="6921" max="6921" width="49" style="118" customWidth="1"/>
    <col min="6922" max="7168" width="9.140625" style="118"/>
    <col min="7169" max="7169" width="6.28515625" style="118" customWidth="1"/>
    <col min="7170" max="7170" width="34.42578125" style="118" customWidth="1"/>
    <col min="7171" max="7171" width="9.140625" style="118"/>
    <col min="7172" max="7172" width="10.28515625" style="118" customWidth="1"/>
    <col min="7173" max="7174" width="12.7109375" style="118" customWidth="1"/>
    <col min="7175" max="7175" width="11.85546875" style="118" customWidth="1"/>
    <col min="7176" max="7176" width="15.140625" style="118" customWidth="1"/>
    <col min="7177" max="7177" width="49" style="118" customWidth="1"/>
    <col min="7178" max="7424" width="9.140625" style="118"/>
    <col min="7425" max="7425" width="6.28515625" style="118" customWidth="1"/>
    <col min="7426" max="7426" width="34.42578125" style="118" customWidth="1"/>
    <col min="7427" max="7427" width="9.140625" style="118"/>
    <col min="7428" max="7428" width="10.28515625" style="118" customWidth="1"/>
    <col min="7429" max="7430" width="12.7109375" style="118" customWidth="1"/>
    <col min="7431" max="7431" width="11.85546875" style="118" customWidth="1"/>
    <col min="7432" max="7432" width="15.140625" style="118" customWidth="1"/>
    <col min="7433" max="7433" width="49" style="118" customWidth="1"/>
    <col min="7434" max="7680" width="9.140625" style="118"/>
    <col min="7681" max="7681" width="6.28515625" style="118" customWidth="1"/>
    <col min="7682" max="7682" width="34.42578125" style="118" customWidth="1"/>
    <col min="7683" max="7683" width="9.140625" style="118"/>
    <col min="7684" max="7684" width="10.28515625" style="118" customWidth="1"/>
    <col min="7685" max="7686" width="12.7109375" style="118" customWidth="1"/>
    <col min="7687" max="7687" width="11.85546875" style="118" customWidth="1"/>
    <col min="7688" max="7688" width="15.140625" style="118" customWidth="1"/>
    <col min="7689" max="7689" width="49" style="118" customWidth="1"/>
    <col min="7690" max="7936" width="9.140625" style="118"/>
    <col min="7937" max="7937" width="6.28515625" style="118" customWidth="1"/>
    <col min="7938" max="7938" width="34.42578125" style="118" customWidth="1"/>
    <col min="7939" max="7939" width="9.140625" style="118"/>
    <col min="7940" max="7940" width="10.28515625" style="118" customWidth="1"/>
    <col min="7941" max="7942" width="12.7109375" style="118" customWidth="1"/>
    <col min="7943" max="7943" width="11.85546875" style="118" customWidth="1"/>
    <col min="7944" max="7944" width="15.140625" style="118" customWidth="1"/>
    <col min="7945" max="7945" width="49" style="118" customWidth="1"/>
    <col min="7946" max="8192" width="9.140625" style="118"/>
    <col min="8193" max="8193" width="6.28515625" style="118" customWidth="1"/>
    <col min="8194" max="8194" width="34.42578125" style="118" customWidth="1"/>
    <col min="8195" max="8195" width="9.140625" style="118"/>
    <col min="8196" max="8196" width="10.28515625" style="118" customWidth="1"/>
    <col min="8197" max="8198" width="12.7109375" style="118" customWidth="1"/>
    <col min="8199" max="8199" width="11.85546875" style="118" customWidth="1"/>
    <col min="8200" max="8200" width="15.140625" style="118" customWidth="1"/>
    <col min="8201" max="8201" width="49" style="118" customWidth="1"/>
    <col min="8202" max="8448" width="9.140625" style="118"/>
    <col min="8449" max="8449" width="6.28515625" style="118" customWidth="1"/>
    <col min="8450" max="8450" width="34.42578125" style="118" customWidth="1"/>
    <col min="8451" max="8451" width="9.140625" style="118"/>
    <col min="8452" max="8452" width="10.28515625" style="118" customWidth="1"/>
    <col min="8453" max="8454" width="12.7109375" style="118" customWidth="1"/>
    <col min="8455" max="8455" width="11.85546875" style="118" customWidth="1"/>
    <col min="8456" max="8456" width="15.140625" style="118" customWidth="1"/>
    <col min="8457" max="8457" width="49" style="118" customWidth="1"/>
    <col min="8458" max="8704" width="9.140625" style="118"/>
    <col min="8705" max="8705" width="6.28515625" style="118" customWidth="1"/>
    <col min="8706" max="8706" width="34.42578125" style="118" customWidth="1"/>
    <col min="8707" max="8707" width="9.140625" style="118"/>
    <col min="8708" max="8708" width="10.28515625" style="118" customWidth="1"/>
    <col min="8709" max="8710" width="12.7109375" style="118" customWidth="1"/>
    <col min="8711" max="8711" width="11.85546875" style="118" customWidth="1"/>
    <col min="8712" max="8712" width="15.140625" style="118" customWidth="1"/>
    <col min="8713" max="8713" width="49" style="118" customWidth="1"/>
    <col min="8714" max="8960" width="9.140625" style="118"/>
    <col min="8961" max="8961" width="6.28515625" style="118" customWidth="1"/>
    <col min="8962" max="8962" width="34.42578125" style="118" customWidth="1"/>
    <col min="8963" max="8963" width="9.140625" style="118"/>
    <col min="8964" max="8964" width="10.28515625" style="118" customWidth="1"/>
    <col min="8965" max="8966" width="12.7109375" style="118" customWidth="1"/>
    <col min="8967" max="8967" width="11.85546875" style="118" customWidth="1"/>
    <col min="8968" max="8968" width="15.140625" style="118" customWidth="1"/>
    <col min="8969" max="8969" width="49" style="118" customWidth="1"/>
    <col min="8970" max="9216" width="9.140625" style="118"/>
    <col min="9217" max="9217" width="6.28515625" style="118" customWidth="1"/>
    <col min="9218" max="9218" width="34.42578125" style="118" customWidth="1"/>
    <col min="9219" max="9219" width="9.140625" style="118"/>
    <col min="9220" max="9220" width="10.28515625" style="118" customWidth="1"/>
    <col min="9221" max="9222" width="12.7109375" style="118" customWidth="1"/>
    <col min="9223" max="9223" width="11.85546875" style="118" customWidth="1"/>
    <col min="9224" max="9224" width="15.140625" style="118" customWidth="1"/>
    <col min="9225" max="9225" width="49" style="118" customWidth="1"/>
    <col min="9226" max="9472" width="9.140625" style="118"/>
    <col min="9473" max="9473" width="6.28515625" style="118" customWidth="1"/>
    <col min="9474" max="9474" width="34.42578125" style="118" customWidth="1"/>
    <col min="9475" max="9475" width="9.140625" style="118"/>
    <col min="9476" max="9476" width="10.28515625" style="118" customWidth="1"/>
    <col min="9477" max="9478" width="12.7109375" style="118" customWidth="1"/>
    <col min="9479" max="9479" width="11.85546875" style="118" customWidth="1"/>
    <col min="9480" max="9480" width="15.140625" style="118" customWidth="1"/>
    <col min="9481" max="9481" width="49" style="118" customWidth="1"/>
    <col min="9482" max="9728" width="9.140625" style="118"/>
    <col min="9729" max="9729" width="6.28515625" style="118" customWidth="1"/>
    <col min="9730" max="9730" width="34.42578125" style="118" customWidth="1"/>
    <col min="9731" max="9731" width="9.140625" style="118"/>
    <col min="9732" max="9732" width="10.28515625" style="118" customWidth="1"/>
    <col min="9733" max="9734" width="12.7109375" style="118" customWidth="1"/>
    <col min="9735" max="9735" width="11.85546875" style="118" customWidth="1"/>
    <col min="9736" max="9736" width="15.140625" style="118" customWidth="1"/>
    <col min="9737" max="9737" width="49" style="118" customWidth="1"/>
    <col min="9738" max="9984" width="9.140625" style="118"/>
    <col min="9985" max="9985" width="6.28515625" style="118" customWidth="1"/>
    <col min="9986" max="9986" width="34.42578125" style="118" customWidth="1"/>
    <col min="9987" max="9987" width="9.140625" style="118"/>
    <col min="9988" max="9988" width="10.28515625" style="118" customWidth="1"/>
    <col min="9989" max="9990" width="12.7109375" style="118" customWidth="1"/>
    <col min="9991" max="9991" width="11.85546875" style="118" customWidth="1"/>
    <col min="9992" max="9992" width="15.140625" style="118" customWidth="1"/>
    <col min="9993" max="9993" width="49" style="118" customWidth="1"/>
    <col min="9994" max="10240" width="9.140625" style="118"/>
    <col min="10241" max="10241" width="6.28515625" style="118" customWidth="1"/>
    <col min="10242" max="10242" width="34.42578125" style="118" customWidth="1"/>
    <col min="10243" max="10243" width="9.140625" style="118"/>
    <col min="10244" max="10244" width="10.28515625" style="118" customWidth="1"/>
    <col min="10245" max="10246" width="12.7109375" style="118" customWidth="1"/>
    <col min="10247" max="10247" width="11.85546875" style="118" customWidth="1"/>
    <col min="10248" max="10248" width="15.140625" style="118" customWidth="1"/>
    <col min="10249" max="10249" width="49" style="118" customWidth="1"/>
    <col min="10250" max="10496" width="9.140625" style="118"/>
    <col min="10497" max="10497" width="6.28515625" style="118" customWidth="1"/>
    <col min="10498" max="10498" width="34.42578125" style="118" customWidth="1"/>
    <col min="10499" max="10499" width="9.140625" style="118"/>
    <col min="10500" max="10500" width="10.28515625" style="118" customWidth="1"/>
    <col min="10501" max="10502" width="12.7109375" style="118" customWidth="1"/>
    <col min="10503" max="10503" width="11.85546875" style="118" customWidth="1"/>
    <col min="10504" max="10504" width="15.140625" style="118" customWidth="1"/>
    <col min="10505" max="10505" width="49" style="118" customWidth="1"/>
    <col min="10506" max="10752" width="9.140625" style="118"/>
    <col min="10753" max="10753" width="6.28515625" style="118" customWidth="1"/>
    <col min="10754" max="10754" width="34.42578125" style="118" customWidth="1"/>
    <col min="10755" max="10755" width="9.140625" style="118"/>
    <col min="10756" max="10756" width="10.28515625" style="118" customWidth="1"/>
    <col min="10757" max="10758" width="12.7109375" style="118" customWidth="1"/>
    <col min="10759" max="10759" width="11.85546875" style="118" customWidth="1"/>
    <col min="10760" max="10760" width="15.140625" style="118" customWidth="1"/>
    <col min="10761" max="10761" width="49" style="118" customWidth="1"/>
    <col min="10762" max="11008" width="9.140625" style="118"/>
    <col min="11009" max="11009" width="6.28515625" style="118" customWidth="1"/>
    <col min="11010" max="11010" width="34.42578125" style="118" customWidth="1"/>
    <col min="11011" max="11011" width="9.140625" style="118"/>
    <col min="11012" max="11012" width="10.28515625" style="118" customWidth="1"/>
    <col min="11013" max="11014" width="12.7109375" style="118" customWidth="1"/>
    <col min="11015" max="11015" width="11.85546875" style="118" customWidth="1"/>
    <col min="11016" max="11016" width="15.140625" style="118" customWidth="1"/>
    <col min="11017" max="11017" width="49" style="118" customWidth="1"/>
    <col min="11018" max="11264" width="9.140625" style="118"/>
    <col min="11265" max="11265" width="6.28515625" style="118" customWidth="1"/>
    <col min="11266" max="11266" width="34.42578125" style="118" customWidth="1"/>
    <col min="11267" max="11267" width="9.140625" style="118"/>
    <col min="11268" max="11268" width="10.28515625" style="118" customWidth="1"/>
    <col min="11269" max="11270" width="12.7109375" style="118" customWidth="1"/>
    <col min="11271" max="11271" width="11.85546875" style="118" customWidth="1"/>
    <col min="11272" max="11272" width="15.140625" style="118" customWidth="1"/>
    <col min="11273" max="11273" width="49" style="118" customWidth="1"/>
    <col min="11274" max="11520" width="9.140625" style="118"/>
    <col min="11521" max="11521" width="6.28515625" style="118" customWidth="1"/>
    <col min="11522" max="11522" width="34.42578125" style="118" customWidth="1"/>
    <col min="11523" max="11523" width="9.140625" style="118"/>
    <col min="11524" max="11524" width="10.28515625" style="118" customWidth="1"/>
    <col min="11525" max="11526" width="12.7109375" style="118" customWidth="1"/>
    <col min="11527" max="11527" width="11.85546875" style="118" customWidth="1"/>
    <col min="11528" max="11528" width="15.140625" style="118" customWidth="1"/>
    <col min="11529" max="11529" width="49" style="118" customWidth="1"/>
    <col min="11530" max="11776" width="9.140625" style="118"/>
    <col min="11777" max="11777" width="6.28515625" style="118" customWidth="1"/>
    <col min="11778" max="11778" width="34.42578125" style="118" customWidth="1"/>
    <col min="11779" max="11779" width="9.140625" style="118"/>
    <col min="11780" max="11780" width="10.28515625" style="118" customWidth="1"/>
    <col min="11781" max="11782" width="12.7109375" style="118" customWidth="1"/>
    <col min="11783" max="11783" width="11.85546875" style="118" customWidth="1"/>
    <col min="11784" max="11784" width="15.140625" style="118" customWidth="1"/>
    <col min="11785" max="11785" width="49" style="118" customWidth="1"/>
    <col min="11786" max="12032" width="9.140625" style="118"/>
    <col min="12033" max="12033" width="6.28515625" style="118" customWidth="1"/>
    <col min="12034" max="12034" width="34.42578125" style="118" customWidth="1"/>
    <col min="12035" max="12035" width="9.140625" style="118"/>
    <col min="12036" max="12036" width="10.28515625" style="118" customWidth="1"/>
    <col min="12037" max="12038" width="12.7109375" style="118" customWidth="1"/>
    <col min="12039" max="12039" width="11.85546875" style="118" customWidth="1"/>
    <col min="12040" max="12040" width="15.140625" style="118" customWidth="1"/>
    <col min="12041" max="12041" width="49" style="118" customWidth="1"/>
    <col min="12042" max="12288" width="9.140625" style="118"/>
    <col min="12289" max="12289" width="6.28515625" style="118" customWidth="1"/>
    <col min="12290" max="12290" width="34.42578125" style="118" customWidth="1"/>
    <col min="12291" max="12291" width="9.140625" style="118"/>
    <col min="12292" max="12292" width="10.28515625" style="118" customWidth="1"/>
    <col min="12293" max="12294" width="12.7109375" style="118" customWidth="1"/>
    <col min="12295" max="12295" width="11.85546875" style="118" customWidth="1"/>
    <col min="12296" max="12296" width="15.140625" style="118" customWidth="1"/>
    <col min="12297" max="12297" width="49" style="118" customWidth="1"/>
    <col min="12298" max="12544" width="9.140625" style="118"/>
    <col min="12545" max="12545" width="6.28515625" style="118" customWidth="1"/>
    <col min="12546" max="12546" width="34.42578125" style="118" customWidth="1"/>
    <col min="12547" max="12547" width="9.140625" style="118"/>
    <col min="12548" max="12548" width="10.28515625" style="118" customWidth="1"/>
    <col min="12549" max="12550" width="12.7109375" style="118" customWidth="1"/>
    <col min="12551" max="12551" width="11.85546875" style="118" customWidth="1"/>
    <col min="12552" max="12552" width="15.140625" style="118" customWidth="1"/>
    <col min="12553" max="12553" width="49" style="118" customWidth="1"/>
    <col min="12554" max="12800" width="9.140625" style="118"/>
    <col min="12801" max="12801" width="6.28515625" style="118" customWidth="1"/>
    <col min="12802" max="12802" width="34.42578125" style="118" customWidth="1"/>
    <col min="12803" max="12803" width="9.140625" style="118"/>
    <col min="12804" max="12804" width="10.28515625" style="118" customWidth="1"/>
    <col min="12805" max="12806" width="12.7109375" style="118" customWidth="1"/>
    <col min="12807" max="12807" width="11.85546875" style="118" customWidth="1"/>
    <col min="12808" max="12808" width="15.140625" style="118" customWidth="1"/>
    <col min="12809" max="12809" width="49" style="118" customWidth="1"/>
    <col min="12810" max="13056" width="9.140625" style="118"/>
    <col min="13057" max="13057" width="6.28515625" style="118" customWidth="1"/>
    <col min="13058" max="13058" width="34.42578125" style="118" customWidth="1"/>
    <col min="13059" max="13059" width="9.140625" style="118"/>
    <col min="13060" max="13060" width="10.28515625" style="118" customWidth="1"/>
    <col min="13061" max="13062" width="12.7109375" style="118" customWidth="1"/>
    <col min="13063" max="13063" width="11.85546875" style="118" customWidth="1"/>
    <col min="13064" max="13064" width="15.140625" style="118" customWidth="1"/>
    <col min="13065" max="13065" width="49" style="118" customWidth="1"/>
    <col min="13066" max="13312" width="9.140625" style="118"/>
    <col min="13313" max="13313" width="6.28515625" style="118" customWidth="1"/>
    <col min="13314" max="13314" width="34.42578125" style="118" customWidth="1"/>
    <col min="13315" max="13315" width="9.140625" style="118"/>
    <col min="13316" max="13316" width="10.28515625" style="118" customWidth="1"/>
    <col min="13317" max="13318" width="12.7109375" style="118" customWidth="1"/>
    <col min="13319" max="13319" width="11.85546875" style="118" customWidth="1"/>
    <col min="13320" max="13320" width="15.140625" style="118" customWidth="1"/>
    <col min="13321" max="13321" width="49" style="118" customWidth="1"/>
    <col min="13322" max="13568" width="9.140625" style="118"/>
    <col min="13569" max="13569" width="6.28515625" style="118" customWidth="1"/>
    <col min="13570" max="13570" width="34.42578125" style="118" customWidth="1"/>
    <col min="13571" max="13571" width="9.140625" style="118"/>
    <col min="13572" max="13572" width="10.28515625" style="118" customWidth="1"/>
    <col min="13573" max="13574" width="12.7109375" style="118" customWidth="1"/>
    <col min="13575" max="13575" width="11.85546875" style="118" customWidth="1"/>
    <col min="13576" max="13576" width="15.140625" style="118" customWidth="1"/>
    <col min="13577" max="13577" width="49" style="118" customWidth="1"/>
    <col min="13578" max="13824" width="9.140625" style="118"/>
    <col min="13825" max="13825" width="6.28515625" style="118" customWidth="1"/>
    <col min="13826" max="13826" width="34.42578125" style="118" customWidth="1"/>
    <col min="13827" max="13827" width="9.140625" style="118"/>
    <col min="13828" max="13828" width="10.28515625" style="118" customWidth="1"/>
    <col min="13829" max="13830" width="12.7109375" style="118" customWidth="1"/>
    <col min="13831" max="13831" width="11.85546875" style="118" customWidth="1"/>
    <col min="13832" max="13832" width="15.140625" style="118" customWidth="1"/>
    <col min="13833" max="13833" width="49" style="118" customWidth="1"/>
    <col min="13834" max="14080" width="9.140625" style="118"/>
    <col min="14081" max="14081" width="6.28515625" style="118" customWidth="1"/>
    <col min="14082" max="14082" width="34.42578125" style="118" customWidth="1"/>
    <col min="14083" max="14083" width="9.140625" style="118"/>
    <col min="14084" max="14084" width="10.28515625" style="118" customWidth="1"/>
    <col min="14085" max="14086" width="12.7109375" style="118" customWidth="1"/>
    <col min="14087" max="14087" width="11.85546875" style="118" customWidth="1"/>
    <col min="14088" max="14088" width="15.140625" style="118" customWidth="1"/>
    <col min="14089" max="14089" width="49" style="118" customWidth="1"/>
    <col min="14090" max="14336" width="9.140625" style="118"/>
    <col min="14337" max="14337" width="6.28515625" style="118" customWidth="1"/>
    <col min="14338" max="14338" width="34.42578125" style="118" customWidth="1"/>
    <col min="14339" max="14339" width="9.140625" style="118"/>
    <col min="14340" max="14340" width="10.28515625" style="118" customWidth="1"/>
    <col min="14341" max="14342" width="12.7109375" style="118" customWidth="1"/>
    <col min="14343" max="14343" width="11.85546875" style="118" customWidth="1"/>
    <col min="14344" max="14344" width="15.140625" style="118" customWidth="1"/>
    <col min="14345" max="14345" width="49" style="118" customWidth="1"/>
    <col min="14346" max="14592" width="9.140625" style="118"/>
    <col min="14593" max="14593" width="6.28515625" style="118" customWidth="1"/>
    <col min="14594" max="14594" width="34.42578125" style="118" customWidth="1"/>
    <col min="14595" max="14595" width="9.140625" style="118"/>
    <col min="14596" max="14596" width="10.28515625" style="118" customWidth="1"/>
    <col min="14597" max="14598" width="12.7109375" style="118" customWidth="1"/>
    <col min="14599" max="14599" width="11.85546875" style="118" customWidth="1"/>
    <col min="14600" max="14600" width="15.140625" style="118" customWidth="1"/>
    <col min="14601" max="14601" width="49" style="118" customWidth="1"/>
    <col min="14602" max="14848" width="9.140625" style="118"/>
    <col min="14849" max="14849" width="6.28515625" style="118" customWidth="1"/>
    <col min="14850" max="14850" width="34.42578125" style="118" customWidth="1"/>
    <col min="14851" max="14851" width="9.140625" style="118"/>
    <col min="14852" max="14852" width="10.28515625" style="118" customWidth="1"/>
    <col min="14853" max="14854" width="12.7109375" style="118" customWidth="1"/>
    <col min="14855" max="14855" width="11.85546875" style="118" customWidth="1"/>
    <col min="14856" max="14856" width="15.140625" style="118" customWidth="1"/>
    <col min="14857" max="14857" width="49" style="118" customWidth="1"/>
    <col min="14858" max="15104" width="9.140625" style="118"/>
    <col min="15105" max="15105" width="6.28515625" style="118" customWidth="1"/>
    <col min="15106" max="15106" width="34.42578125" style="118" customWidth="1"/>
    <col min="15107" max="15107" width="9.140625" style="118"/>
    <col min="15108" max="15108" width="10.28515625" style="118" customWidth="1"/>
    <col min="15109" max="15110" width="12.7109375" style="118" customWidth="1"/>
    <col min="15111" max="15111" width="11.85546875" style="118" customWidth="1"/>
    <col min="15112" max="15112" width="15.140625" style="118" customWidth="1"/>
    <col min="15113" max="15113" width="49" style="118" customWidth="1"/>
    <col min="15114" max="15360" width="9.140625" style="118"/>
    <col min="15361" max="15361" width="6.28515625" style="118" customWidth="1"/>
    <col min="15362" max="15362" width="34.42578125" style="118" customWidth="1"/>
    <col min="15363" max="15363" width="9.140625" style="118"/>
    <col min="15364" max="15364" width="10.28515625" style="118" customWidth="1"/>
    <col min="15365" max="15366" width="12.7109375" style="118" customWidth="1"/>
    <col min="15367" max="15367" width="11.85546875" style="118" customWidth="1"/>
    <col min="15368" max="15368" width="15.140625" style="118" customWidth="1"/>
    <col min="15369" max="15369" width="49" style="118" customWidth="1"/>
    <col min="15370" max="15616" width="9.140625" style="118"/>
    <col min="15617" max="15617" width="6.28515625" style="118" customWidth="1"/>
    <col min="15618" max="15618" width="34.42578125" style="118" customWidth="1"/>
    <col min="15619" max="15619" width="9.140625" style="118"/>
    <col min="15620" max="15620" width="10.28515625" style="118" customWidth="1"/>
    <col min="15621" max="15622" width="12.7109375" style="118" customWidth="1"/>
    <col min="15623" max="15623" width="11.85546875" style="118" customWidth="1"/>
    <col min="15624" max="15624" width="15.140625" style="118" customWidth="1"/>
    <col min="15625" max="15625" width="49" style="118" customWidth="1"/>
    <col min="15626" max="15872" width="9.140625" style="118"/>
    <col min="15873" max="15873" width="6.28515625" style="118" customWidth="1"/>
    <col min="15874" max="15874" width="34.42578125" style="118" customWidth="1"/>
    <col min="15875" max="15875" width="9.140625" style="118"/>
    <col min="15876" max="15876" width="10.28515625" style="118" customWidth="1"/>
    <col min="15877" max="15878" width="12.7109375" style="118" customWidth="1"/>
    <col min="15879" max="15879" width="11.85546875" style="118" customWidth="1"/>
    <col min="15880" max="15880" width="15.140625" style="118" customWidth="1"/>
    <col min="15881" max="15881" width="49" style="118" customWidth="1"/>
    <col min="15882" max="16128" width="9.140625" style="118"/>
    <col min="16129" max="16129" width="6.28515625" style="118" customWidth="1"/>
    <col min="16130" max="16130" width="34.42578125" style="118" customWidth="1"/>
    <col min="16131" max="16131" width="9.140625" style="118"/>
    <col min="16132" max="16132" width="10.28515625" style="118" customWidth="1"/>
    <col min="16133" max="16134" width="12.7109375" style="118" customWidth="1"/>
    <col min="16135" max="16135" width="11.85546875" style="118" customWidth="1"/>
    <col min="16136" max="16136" width="15.140625" style="118" customWidth="1"/>
    <col min="16137" max="16137" width="49" style="118" customWidth="1"/>
    <col min="16138" max="16384" width="9.140625" style="118"/>
  </cols>
  <sheetData>
    <row r="1" spans="1:10" ht="55.5" customHeight="1">
      <c r="A1" s="3982"/>
      <c r="B1" s="3982"/>
      <c r="C1" s="4006"/>
      <c r="D1" s="318"/>
      <c r="E1" s="319"/>
      <c r="F1" s="318"/>
      <c r="G1" s="318"/>
      <c r="H1" s="318"/>
      <c r="I1" s="426" t="s">
        <v>1452</v>
      </c>
    </row>
    <row r="2" spans="1:10" ht="33.75" customHeight="1">
      <c r="A2" s="4007" t="s">
        <v>199</v>
      </c>
      <c r="B2" s="4007"/>
      <c r="C2" s="4007"/>
      <c r="D2" s="4007"/>
      <c r="E2" s="4007"/>
      <c r="F2" s="4007"/>
      <c r="G2" s="4007"/>
      <c r="H2" s="4007"/>
      <c r="I2" s="4007"/>
    </row>
    <row r="3" spans="1:10" ht="21" customHeight="1" thickBot="1">
      <c r="A3" s="244"/>
      <c r="B3" s="244"/>
      <c r="C3" s="244"/>
      <c r="D3" s="244"/>
      <c r="E3" s="320"/>
      <c r="F3" s="244"/>
      <c r="G3" s="244"/>
      <c r="H3" s="244"/>
      <c r="I3" s="321" t="s">
        <v>200</v>
      </c>
    </row>
    <row r="4" spans="1:10" ht="21" customHeight="1" thickBot="1">
      <c r="A4" s="3974" t="s">
        <v>84</v>
      </c>
      <c r="B4" s="4008" t="s">
        <v>151</v>
      </c>
      <c r="C4" s="4008" t="s">
        <v>0</v>
      </c>
      <c r="D4" s="4008" t="s">
        <v>30</v>
      </c>
      <c r="E4" s="4009" t="s">
        <v>76</v>
      </c>
      <c r="F4" s="4010" t="s">
        <v>2</v>
      </c>
      <c r="G4" s="4010" t="s">
        <v>1</v>
      </c>
      <c r="H4" s="4011"/>
      <c r="I4" s="4012" t="s">
        <v>86</v>
      </c>
    </row>
    <row r="5" spans="1:10" ht="15" customHeight="1" thickBot="1">
      <c r="A5" s="3974"/>
      <c r="B5" s="4008"/>
      <c r="C5" s="4008"/>
      <c r="D5" s="4008"/>
      <c r="E5" s="4008"/>
      <c r="F5" s="4010"/>
      <c r="G5" s="4010" t="s">
        <v>132</v>
      </c>
      <c r="H5" s="4011" t="s">
        <v>88</v>
      </c>
      <c r="I5" s="4012"/>
    </row>
    <row r="6" spans="1:10" ht="28.5" customHeight="1" thickBot="1">
      <c r="A6" s="3974"/>
      <c r="B6" s="4008"/>
      <c r="C6" s="4008"/>
      <c r="D6" s="4008"/>
      <c r="E6" s="4008"/>
      <c r="F6" s="4010"/>
      <c r="G6" s="4010"/>
      <c r="H6" s="4011"/>
      <c r="I6" s="4012"/>
    </row>
    <row r="7" spans="1:10" ht="66" customHeight="1">
      <c r="A7" s="4013">
        <v>1</v>
      </c>
      <c r="B7" s="4016" t="s">
        <v>201</v>
      </c>
      <c r="C7" s="4018" t="s">
        <v>6</v>
      </c>
      <c r="D7" s="4018" t="s">
        <v>202</v>
      </c>
      <c r="E7" s="4021">
        <f>SUM(G7:H10)</f>
        <v>11950000</v>
      </c>
      <c r="F7" s="323">
        <v>2310</v>
      </c>
      <c r="G7" s="324">
        <v>4140000</v>
      </c>
      <c r="H7" s="325"/>
      <c r="I7" s="326" t="s">
        <v>203</v>
      </c>
    </row>
    <row r="8" spans="1:10" ht="66.75" customHeight="1">
      <c r="A8" s="4014"/>
      <c r="B8" s="4017"/>
      <c r="C8" s="4019"/>
      <c r="D8" s="4019"/>
      <c r="E8" s="4022"/>
      <c r="F8" s="2786">
        <v>2320</v>
      </c>
      <c r="G8" s="2787">
        <v>75000</v>
      </c>
      <c r="H8" s="2788"/>
      <c r="I8" s="2789" t="s">
        <v>204</v>
      </c>
    </row>
    <row r="9" spans="1:10" ht="42.75" customHeight="1">
      <c r="A9" s="4014"/>
      <c r="B9" s="4017"/>
      <c r="C9" s="4019"/>
      <c r="D9" s="4019"/>
      <c r="E9" s="4022"/>
      <c r="F9" s="2786">
        <v>6610</v>
      </c>
      <c r="G9" s="2787"/>
      <c r="H9" s="2788">
        <v>7660000</v>
      </c>
      <c r="I9" s="2789" t="s">
        <v>205</v>
      </c>
    </row>
    <row r="10" spans="1:10" ht="72" customHeight="1" thickBot="1">
      <c r="A10" s="4015"/>
      <c r="B10" s="4017"/>
      <c r="C10" s="4020"/>
      <c r="D10" s="4020"/>
      <c r="E10" s="4023"/>
      <c r="F10" s="2790">
        <v>6620</v>
      </c>
      <c r="G10" s="2791"/>
      <c r="H10" s="2792">
        <v>75000</v>
      </c>
      <c r="I10" s="2793" t="s">
        <v>206</v>
      </c>
    </row>
    <row r="11" spans="1:10" ht="72" customHeight="1">
      <c r="A11" s="4024">
        <v>2</v>
      </c>
      <c r="B11" s="4016" t="s">
        <v>207</v>
      </c>
      <c r="C11" s="4028" t="s">
        <v>33</v>
      </c>
      <c r="D11" s="4028" t="s">
        <v>34</v>
      </c>
      <c r="E11" s="4031">
        <f>SUM(G11:H13)</f>
        <v>8000000</v>
      </c>
      <c r="F11" s="327">
        <v>2310</v>
      </c>
      <c r="G11" s="2794">
        <v>1600000</v>
      </c>
      <c r="H11" s="328"/>
      <c r="I11" s="329" t="s">
        <v>208</v>
      </c>
    </row>
    <row r="12" spans="1:10" ht="70.5" customHeight="1">
      <c r="A12" s="4025"/>
      <c r="B12" s="4017"/>
      <c r="C12" s="4029"/>
      <c r="D12" s="4029"/>
      <c r="E12" s="4032"/>
      <c r="F12" s="2795">
        <v>2320</v>
      </c>
      <c r="G12" s="2787">
        <v>4050000</v>
      </c>
      <c r="H12" s="2796"/>
      <c r="I12" s="2789" t="s">
        <v>209</v>
      </c>
    </row>
    <row r="13" spans="1:10" ht="83.25" customHeight="1" thickBot="1">
      <c r="A13" s="4026"/>
      <c r="B13" s="4027"/>
      <c r="C13" s="4030"/>
      <c r="D13" s="4030"/>
      <c r="E13" s="4033"/>
      <c r="F13" s="330">
        <v>2800</v>
      </c>
      <c r="G13" s="2797">
        <v>2350000</v>
      </c>
      <c r="H13" s="331"/>
      <c r="I13" s="332" t="s">
        <v>210</v>
      </c>
    </row>
    <row r="14" spans="1:10" ht="39" customHeight="1" thickBot="1">
      <c r="A14" s="333">
        <v>3</v>
      </c>
      <c r="B14" s="334" t="s">
        <v>211</v>
      </c>
      <c r="C14" s="335" t="s">
        <v>212</v>
      </c>
      <c r="D14" s="335" t="s">
        <v>213</v>
      </c>
      <c r="E14" s="336">
        <f>SUM(G14:H14)</f>
        <v>385000</v>
      </c>
      <c r="F14" s="3155">
        <v>6170</v>
      </c>
      <c r="G14" s="3156"/>
      <c r="H14" s="3157">
        <v>385000</v>
      </c>
      <c r="I14" s="340" t="s">
        <v>214</v>
      </c>
      <c r="J14" s="2798"/>
    </row>
    <row r="15" spans="1:10" ht="52.5" customHeight="1" thickBot="1">
      <c r="A15" s="341">
        <v>4</v>
      </c>
      <c r="B15" s="342" t="s">
        <v>215</v>
      </c>
      <c r="C15" s="4029" t="s">
        <v>212</v>
      </c>
      <c r="D15" s="343" t="s">
        <v>216</v>
      </c>
      <c r="E15" s="344">
        <f>SUM(G15:H15)</f>
        <v>250000</v>
      </c>
      <c r="F15" s="345">
        <v>6170</v>
      </c>
      <c r="G15" s="2799"/>
      <c r="H15" s="2800">
        <v>250000</v>
      </c>
      <c r="I15" s="346" t="s">
        <v>217</v>
      </c>
      <c r="J15" s="2798"/>
    </row>
    <row r="16" spans="1:10" ht="40.5" customHeight="1" thickBot="1">
      <c r="A16" s="333">
        <v>5</v>
      </c>
      <c r="B16" s="334" t="s">
        <v>218</v>
      </c>
      <c r="C16" s="4030"/>
      <c r="D16" s="335" t="s">
        <v>219</v>
      </c>
      <c r="E16" s="336">
        <f>SUM(G16:H16)</f>
        <v>500000</v>
      </c>
      <c r="F16" s="337">
        <v>6170</v>
      </c>
      <c r="G16" s="338"/>
      <c r="H16" s="339">
        <v>500000</v>
      </c>
      <c r="I16" s="340" t="s">
        <v>220</v>
      </c>
      <c r="J16" s="2798"/>
    </row>
    <row r="17" spans="1:14" ht="201" customHeight="1" thickBot="1">
      <c r="A17" s="333">
        <v>6</v>
      </c>
      <c r="B17" s="334" t="s">
        <v>221</v>
      </c>
      <c r="C17" s="4000">
        <v>851</v>
      </c>
      <c r="D17" s="4000">
        <v>85111</v>
      </c>
      <c r="E17" s="4034">
        <f>SUM(G17:H21)</f>
        <v>73958799</v>
      </c>
      <c r="F17" s="337">
        <v>6220</v>
      </c>
      <c r="G17" s="338"/>
      <c r="H17" s="349">
        <v>25996354</v>
      </c>
      <c r="I17" s="340" t="s">
        <v>222</v>
      </c>
      <c r="J17" s="350"/>
    </row>
    <row r="18" spans="1:14" ht="211.5" customHeight="1" thickBot="1">
      <c r="A18" s="333">
        <v>7</v>
      </c>
      <c r="B18" s="351" t="s">
        <v>173</v>
      </c>
      <c r="C18" s="4001"/>
      <c r="D18" s="4001"/>
      <c r="E18" s="4036"/>
      <c r="F18" s="352">
        <v>6220</v>
      </c>
      <c r="G18" s="2801"/>
      <c r="H18" s="2802">
        <v>28285885</v>
      </c>
      <c r="I18" s="329" t="s">
        <v>224</v>
      </c>
      <c r="J18" s="350"/>
    </row>
    <row r="19" spans="1:14" ht="108.75" customHeight="1" thickBot="1">
      <c r="A19" s="353">
        <v>8</v>
      </c>
      <c r="B19" s="334" t="s">
        <v>225</v>
      </c>
      <c r="C19" s="4002"/>
      <c r="D19" s="4002"/>
      <c r="E19" s="4035"/>
      <c r="F19" s="354">
        <v>6220</v>
      </c>
      <c r="G19" s="355"/>
      <c r="H19" s="349">
        <f>2840520+1539500</f>
        <v>4380020</v>
      </c>
      <c r="I19" s="340" t="s">
        <v>1444</v>
      </c>
      <c r="J19" s="356"/>
    </row>
    <row r="20" spans="1:14" ht="132" customHeight="1" thickBot="1">
      <c r="A20" s="333">
        <v>9</v>
      </c>
      <c r="B20" s="351" t="s">
        <v>226</v>
      </c>
      <c r="C20" s="4000">
        <v>851</v>
      </c>
      <c r="D20" s="4000">
        <v>85111</v>
      </c>
      <c r="E20" s="4034" t="s">
        <v>223</v>
      </c>
      <c r="F20" s="354">
        <v>6220</v>
      </c>
      <c r="G20" s="3158"/>
      <c r="H20" s="3159">
        <v>4296540</v>
      </c>
      <c r="I20" s="340" t="s">
        <v>227</v>
      </c>
      <c r="J20" s="356"/>
    </row>
    <row r="21" spans="1:14" ht="72.75" customHeight="1" thickBot="1">
      <c r="A21" s="341">
        <v>10</v>
      </c>
      <c r="B21" s="358" t="s">
        <v>228</v>
      </c>
      <c r="C21" s="4001"/>
      <c r="D21" s="4002"/>
      <c r="E21" s="4035"/>
      <c r="F21" s="357">
        <v>6220</v>
      </c>
      <c r="G21" s="3160"/>
      <c r="H21" s="3161">
        <v>11000000</v>
      </c>
      <c r="I21" s="332" t="s">
        <v>229</v>
      </c>
      <c r="J21" s="356"/>
    </row>
    <row r="22" spans="1:14" ht="60" customHeight="1" thickBot="1">
      <c r="A22" s="359">
        <v>11</v>
      </c>
      <c r="B22" s="3129" t="s">
        <v>230</v>
      </c>
      <c r="C22" s="4001"/>
      <c r="D22" s="4000">
        <v>85120</v>
      </c>
      <c r="E22" s="4034">
        <f>SUM(G22:H23)</f>
        <v>6310245</v>
      </c>
      <c r="F22" s="354">
        <v>6220</v>
      </c>
      <c r="G22" s="3156"/>
      <c r="H22" s="3157">
        <v>6181478</v>
      </c>
      <c r="I22" s="340" t="s">
        <v>231</v>
      </c>
      <c r="J22" s="356"/>
    </row>
    <row r="23" spans="1:14" ht="70.5" customHeight="1" thickBot="1">
      <c r="A23" s="353">
        <v>12</v>
      </c>
      <c r="B23" s="360" t="s">
        <v>179</v>
      </c>
      <c r="C23" s="4001"/>
      <c r="D23" s="4002"/>
      <c r="E23" s="4035"/>
      <c r="F23" s="354">
        <v>6220</v>
      </c>
      <c r="G23" s="3156"/>
      <c r="H23" s="3157">
        <v>128767</v>
      </c>
      <c r="I23" s="340" t="s">
        <v>232</v>
      </c>
      <c r="J23" s="356"/>
    </row>
    <row r="24" spans="1:14" ht="61.5" customHeight="1" thickBot="1">
      <c r="A24" s="361">
        <v>13</v>
      </c>
      <c r="B24" s="362" t="s">
        <v>233</v>
      </c>
      <c r="C24" s="4001"/>
      <c r="D24" s="4001">
        <v>85121</v>
      </c>
      <c r="E24" s="4036">
        <f>SUM(G24:H25)</f>
        <v>2858973</v>
      </c>
      <c r="F24" s="363">
        <v>6220</v>
      </c>
      <c r="G24" s="2803"/>
      <c r="H24" s="2804">
        <v>253549</v>
      </c>
      <c r="I24" s="346" t="s">
        <v>234</v>
      </c>
      <c r="J24" s="266"/>
      <c r="K24" s="364"/>
      <c r="L24" s="364"/>
      <c r="M24" s="364"/>
      <c r="N24" s="364"/>
    </row>
    <row r="25" spans="1:14" ht="87" customHeight="1" thickBot="1">
      <c r="A25" s="3127">
        <v>14</v>
      </c>
      <c r="B25" s="365" t="s">
        <v>235</v>
      </c>
      <c r="C25" s="4001"/>
      <c r="D25" s="4002"/>
      <c r="E25" s="4035"/>
      <c r="F25" s="366">
        <v>6220</v>
      </c>
      <c r="G25" s="2805"/>
      <c r="H25" s="2806">
        <v>2605424</v>
      </c>
      <c r="I25" s="329" t="s">
        <v>236</v>
      </c>
      <c r="J25" s="266"/>
      <c r="K25" s="364"/>
      <c r="L25" s="364"/>
      <c r="M25" s="364"/>
      <c r="N25" s="364"/>
    </row>
    <row r="26" spans="1:14" ht="84" customHeight="1" thickBot="1">
      <c r="A26" s="367">
        <v>15</v>
      </c>
      <c r="B26" s="368" t="s">
        <v>237</v>
      </c>
      <c r="C26" s="4001"/>
      <c r="D26" s="4000">
        <v>85141</v>
      </c>
      <c r="E26" s="4034">
        <f>SUM(G26:H27)</f>
        <v>783954</v>
      </c>
      <c r="F26" s="3162">
        <v>6220</v>
      </c>
      <c r="G26" s="3163"/>
      <c r="H26" s="3164">
        <v>733954</v>
      </c>
      <c r="I26" s="340" t="s">
        <v>1278</v>
      </c>
      <c r="J26" s="266"/>
      <c r="K26" s="364"/>
      <c r="L26" s="364"/>
      <c r="M26" s="364"/>
      <c r="N26" s="364"/>
    </row>
    <row r="27" spans="1:14" ht="45.75" customHeight="1" thickBot="1">
      <c r="A27" s="367">
        <v>16</v>
      </c>
      <c r="B27" s="372" t="s">
        <v>238</v>
      </c>
      <c r="C27" s="4002"/>
      <c r="D27" s="4002"/>
      <c r="E27" s="4035"/>
      <c r="F27" s="3162">
        <v>6220</v>
      </c>
      <c r="G27" s="3163"/>
      <c r="H27" s="3164">
        <v>50000</v>
      </c>
      <c r="I27" s="373" t="s">
        <v>239</v>
      </c>
      <c r="J27" s="266"/>
      <c r="K27" s="364"/>
      <c r="L27" s="364"/>
      <c r="M27" s="364"/>
      <c r="N27" s="364"/>
    </row>
    <row r="28" spans="1:14" ht="52.5" customHeight="1" thickBot="1">
      <c r="A28" s="367">
        <v>17</v>
      </c>
      <c r="B28" s="368" t="s">
        <v>240</v>
      </c>
      <c r="C28" s="374">
        <v>851</v>
      </c>
      <c r="D28" s="347">
        <v>85148</v>
      </c>
      <c r="E28" s="348">
        <f>SUM(G28:H28)</f>
        <v>19800</v>
      </c>
      <c r="F28" s="369">
        <v>6220</v>
      </c>
      <c r="G28" s="370"/>
      <c r="H28" s="371">
        <v>19800</v>
      </c>
      <c r="I28" s="340" t="s">
        <v>241</v>
      </c>
      <c r="J28" s="266"/>
      <c r="K28" s="364"/>
      <c r="L28" s="364"/>
      <c r="M28" s="364"/>
      <c r="N28" s="364"/>
    </row>
    <row r="29" spans="1:14" ht="96.75" customHeight="1">
      <c r="A29" s="4037">
        <v>18</v>
      </c>
      <c r="B29" s="4039" t="s">
        <v>242</v>
      </c>
      <c r="C29" s="4000">
        <v>921</v>
      </c>
      <c r="D29" s="4000">
        <v>92106</v>
      </c>
      <c r="E29" s="4034">
        <f>SUM(G29:H30)</f>
        <v>2320000</v>
      </c>
      <c r="F29" s="375">
        <v>2800</v>
      </c>
      <c r="G29" s="376">
        <v>1000000</v>
      </c>
      <c r="H29" s="376"/>
      <c r="I29" s="377" t="s">
        <v>243</v>
      </c>
      <c r="K29" s="364"/>
      <c r="L29" s="364"/>
      <c r="M29" s="364"/>
      <c r="N29" s="364"/>
    </row>
    <row r="30" spans="1:14" ht="151.5" customHeight="1" thickBot="1">
      <c r="A30" s="4038"/>
      <c r="B30" s="4040"/>
      <c r="C30" s="4001"/>
      <c r="D30" s="4002"/>
      <c r="E30" s="4035"/>
      <c r="F30" s="2807">
        <v>6220</v>
      </c>
      <c r="G30" s="2808"/>
      <c r="H30" s="2809">
        <v>1320000</v>
      </c>
      <c r="I30" s="378" t="s">
        <v>244</v>
      </c>
      <c r="K30" s="364"/>
      <c r="L30" s="364"/>
      <c r="M30" s="364"/>
      <c r="N30" s="364"/>
    </row>
    <row r="31" spans="1:14" ht="57.75" customHeight="1" thickBot="1">
      <c r="A31" s="4000">
        <v>19</v>
      </c>
      <c r="B31" s="4039" t="s">
        <v>245</v>
      </c>
      <c r="C31" s="4001"/>
      <c r="D31" s="4000">
        <v>92108</v>
      </c>
      <c r="E31" s="4034">
        <f>SUM(G31:H32)</f>
        <v>696000</v>
      </c>
      <c r="F31" s="379">
        <v>2800</v>
      </c>
      <c r="G31" s="2810">
        <v>150000</v>
      </c>
      <c r="H31" s="2811"/>
      <c r="I31" s="380" t="s">
        <v>246</v>
      </c>
      <c r="K31" s="364"/>
      <c r="L31" s="364"/>
      <c r="M31" s="364"/>
      <c r="N31" s="364"/>
    </row>
    <row r="32" spans="1:14" ht="97.5" customHeight="1" thickBot="1">
      <c r="A32" s="4002"/>
      <c r="B32" s="4040"/>
      <c r="C32" s="4002"/>
      <c r="D32" s="4002"/>
      <c r="E32" s="4035"/>
      <c r="F32" s="381">
        <v>6220</v>
      </c>
      <c r="G32" s="382"/>
      <c r="H32" s="383">
        <v>546000</v>
      </c>
      <c r="I32" s="384" t="s">
        <v>247</v>
      </c>
      <c r="K32" s="364"/>
      <c r="L32" s="364"/>
      <c r="M32" s="364"/>
      <c r="N32" s="364"/>
    </row>
    <row r="33" spans="1:14" ht="159.75" customHeight="1" thickBot="1">
      <c r="A33" s="367">
        <v>20</v>
      </c>
      <c r="B33" s="3168" t="s">
        <v>1279</v>
      </c>
      <c r="C33" s="347">
        <v>921</v>
      </c>
      <c r="D33" s="347">
        <v>92109</v>
      </c>
      <c r="E33" s="3169">
        <f>SUM(G33:H36)</f>
        <v>2735202</v>
      </c>
      <c r="F33" s="381">
        <v>2800</v>
      </c>
      <c r="G33" s="3170">
        <v>611202</v>
      </c>
      <c r="H33" s="3171"/>
      <c r="I33" s="384" t="s">
        <v>1280</v>
      </c>
      <c r="J33" s="266"/>
      <c r="K33" s="364"/>
      <c r="L33" s="364"/>
      <c r="M33" s="364"/>
      <c r="N33" s="364"/>
    </row>
    <row r="34" spans="1:14" ht="148.5" customHeight="1" thickBot="1">
      <c r="A34" s="3128">
        <v>20</v>
      </c>
      <c r="B34" s="3165" t="s">
        <v>1279</v>
      </c>
      <c r="C34" s="4000">
        <v>921</v>
      </c>
      <c r="D34" s="4001">
        <v>92109</v>
      </c>
      <c r="E34" s="4036" t="s">
        <v>223</v>
      </c>
      <c r="F34" s="398">
        <v>6220</v>
      </c>
      <c r="G34" s="3166"/>
      <c r="H34" s="3167">
        <v>1680000</v>
      </c>
      <c r="I34" s="3126" t="s">
        <v>1281</v>
      </c>
      <c r="K34" s="364"/>
      <c r="L34" s="364"/>
      <c r="M34" s="364"/>
      <c r="N34" s="364"/>
    </row>
    <row r="35" spans="1:14" ht="125.25" customHeight="1">
      <c r="A35" s="4041">
        <v>21</v>
      </c>
      <c r="B35" s="4050" t="s">
        <v>164</v>
      </c>
      <c r="C35" s="4001"/>
      <c r="D35" s="4001"/>
      <c r="E35" s="4036"/>
      <c r="F35" s="387">
        <v>2800</v>
      </c>
      <c r="G35" s="388">
        <v>320000</v>
      </c>
      <c r="H35" s="389"/>
      <c r="I35" s="390" t="s">
        <v>1282</v>
      </c>
      <c r="J35" s="266"/>
      <c r="K35" s="391"/>
      <c r="L35" s="364"/>
      <c r="M35" s="364"/>
      <c r="N35" s="364"/>
    </row>
    <row r="36" spans="1:14" ht="65.25" customHeight="1" thickBot="1">
      <c r="A36" s="4049"/>
      <c r="B36" s="4051"/>
      <c r="C36" s="4001"/>
      <c r="D36" s="4002"/>
      <c r="E36" s="4035"/>
      <c r="F36" s="2814">
        <v>6220</v>
      </c>
      <c r="G36" s="2815"/>
      <c r="H36" s="2816">
        <v>124000</v>
      </c>
      <c r="I36" s="2817" t="s">
        <v>1283</v>
      </c>
      <c r="J36" s="266"/>
      <c r="K36" s="364"/>
      <c r="L36" s="364"/>
      <c r="M36" s="364"/>
      <c r="N36" s="364"/>
    </row>
    <row r="37" spans="1:14" ht="63" customHeight="1" thickBot="1">
      <c r="A37" s="4052">
        <v>22</v>
      </c>
      <c r="B37" s="4050" t="s">
        <v>248</v>
      </c>
      <c r="C37" s="4001"/>
      <c r="D37" s="4000">
        <v>92110</v>
      </c>
      <c r="E37" s="4034">
        <f>SUM(G37:H38)</f>
        <v>75232</v>
      </c>
      <c r="F37" s="392">
        <v>2800</v>
      </c>
      <c r="G37" s="393">
        <v>25232</v>
      </c>
      <c r="H37" s="394"/>
      <c r="I37" s="334" t="s">
        <v>249</v>
      </c>
      <c r="J37" s="266"/>
      <c r="K37" s="364"/>
      <c r="L37" s="364"/>
      <c r="M37" s="364"/>
      <c r="N37" s="364"/>
    </row>
    <row r="38" spans="1:14" ht="46.5" customHeight="1" thickBot="1">
      <c r="A38" s="4053"/>
      <c r="B38" s="4054"/>
      <c r="C38" s="4002"/>
      <c r="D38" s="4002"/>
      <c r="E38" s="4035"/>
      <c r="F38" s="395">
        <v>6220</v>
      </c>
      <c r="G38" s="393"/>
      <c r="H38" s="394">
        <v>50000</v>
      </c>
      <c r="I38" s="334" t="s">
        <v>1284</v>
      </c>
      <c r="J38" s="266"/>
      <c r="K38" s="364"/>
      <c r="L38" s="364"/>
      <c r="M38" s="364"/>
      <c r="N38" s="364"/>
    </row>
    <row r="39" spans="1:14" ht="53.25" customHeight="1">
      <c r="A39" s="4041">
        <v>23</v>
      </c>
      <c r="B39" s="4043" t="s">
        <v>169</v>
      </c>
      <c r="C39" s="4000">
        <v>921</v>
      </c>
      <c r="D39" s="4045">
        <v>92114</v>
      </c>
      <c r="E39" s="4047">
        <f>SUM(G39:H40)</f>
        <v>1110000</v>
      </c>
      <c r="F39" s="387">
        <v>2800</v>
      </c>
      <c r="G39" s="388">
        <v>35000</v>
      </c>
      <c r="H39" s="389"/>
      <c r="I39" s="390" t="s">
        <v>250</v>
      </c>
      <c r="K39" s="364"/>
      <c r="L39" s="364"/>
      <c r="M39" s="364"/>
      <c r="N39" s="364"/>
    </row>
    <row r="40" spans="1:14" ht="96.75" customHeight="1" thickBot="1">
      <c r="A40" s="4042"/>
      <c r="B40" s="4044"/>
      <c r="C40" s="4002"/>
      <c r="D40" s="4046"/>
      <c r="E40" s="4048"/>
      <c r="F40" s="2818">
        <v>6220</v>
      </c>
      <c r="G40" s="2812"/>
      <c r="H40" s="2813">
        <v>1075000</v>
      </c>
      <c r="I40" s="386" t="s">
        <v>251</v>
      </c>
      <c r="K40" s="364"/>
      <c r="L40" s="364"/>
      <c r="M40" s="364"/>
      <c r="N40" s="364"/>
    </row>
    <row r="41" spans="1:14" ht="69" customHeight="1">
      <c r="A41" s="4041">
        <v>24</v>
      </c>
      <c r="B41" s="4050" t="s">
        <v>252</v>
      </c>
      <c r="C41" s="4000">
        <v>921</v>
      </c>
      <c r="D41" s="4000">
        <v>92116</v>
      </c>
      <c r="E41" s="4003">
        <f>SUM(G41:H42)</f>
        <v>345000</v>
      </c>
      <c r="F41" s="387">
        <v>2800</v>
      </c>
      <c r="G41" s="388">
        <v>110000</v>
      </c>
      <c r="H41" s="389"/>
      <c r="I41" s="3131" t="s">
        <v>1285</v>
      </c>
      <c r="K41" s="364"/>
      <c r="L41" s="364"/>
      <c r="M41" s="364"/>
      <c r="N41" s="364"/>
    </row>
    <row r="42" spans="1:14" ht="54.75" customHeight="1" thickBot="1">
      <c r="A42" s="4042"/>
      <c r="B42" s="4054"/>
      <c r="C42" s="4001"/>
      <c r="D42" s="4002"/>
      <c r="E42" s="4005"/>
      <c r="F42" s="2818">
        <v>6220</v>
      </c>
      <c r="G42" s="2812"/>
      <c r="H42" s="2813">
        <v>235000</v>
      </c>
      <c r="I42" s="3132" t="s">
        <v>253</v>
      </c>
      <c r="K42" s="364"/>
      <c r="L42" s="364"/>
      <c r="M42" s="364"/>
      <c r="N42" s="364"/>
    </row>
    <row r="43" spans="1:14" ht="72.75" customHeight="1">
      <c r="A43" s="4041">
        <v>25</v>
      </c>
      <c r="B43" s="4055" t="s">
        <v>155</v>
      </c>
      <c r="C43" s="4001"/>
      <c r="D43" s="4000">
        <v>92118</v>
      </c>
      <c r="E43" s="4003">
        <f>SUM(G43:H56)</f>
        <v>6042206</v>
      </c>
      <c r="F43" s="387">
        <v>2800</v>
      </c>
      <c r="G43" s="388">
        <v>230000</v>
      </c>
      <c r="H43" s="389"/>
      <c r="I43" s="3131" t="s">
        <v>1286</v>
      </c>
      <c r="K43" s="364"/>
      <c r="L43" s="364"/>
      <c r="M43" s="364"/>
      <c r="N43" s="364"/>
    </row>
    <row r="44" spans="1:14" ht="48" customHeight="1" thickBot="1">
      <c r="A44" s="4042"/>
      <c r="B44" s="4056"/>
      <c r="C44" s="4001"/>
      <c r="D44" s="4001"/>
      <c r="E44" s="4005"/>
      <c r="F44" s="2818">
        <v>6220</v>
      </c>
      <c r="G44" s="2812"/>
      <c r="H44" s="2813">
        <v>815600</v>
      </c>
      <c r="I44" s="3132" t="s">
        <v>1439</v>
      </c>
      <c r="K44" s="364"/>
      <c r="L44" s="364"/>
      <c r="M44" s="364"/>
      <c r="N44" s="364"/>
    </row>
    <row r="45" spans="1:14" ht="34.5" customHeight="1">
      <c r="A45" s="4041">
        <v>26</v>
      </c>
      <c r="B45" s="4055" t="s">
        <v>153</v>
      </c>
      <c r="C45" s="4001"/>
      <c r="D45" s="4001"/>
      <c r="E45" s="4003" t="s">
        <v>223</v>
      </c>
      <c r="F45" s="387">
        <v>2800</v>
      </c>
      <c r="G45" s="388">
        <v>12403</v>
      </c>
      <c r="H45" s="389"/>
      <c r="I45" s="3131" t="s">
        <v>254</v>
      </c>
      <c r="K45" s="364"/>
      <c r="L45" s="364"/>
      <c r="M45" s="364"/>
      <c r="N45" s="364"/>
    </row>
    <row r="46" spans="1:14" ht="179.25" customHeight="1" thickBot="1">
      <c r="A46" s="4042"/>
      <c r="B46" s="4056"/>
      <c r="C46" s="4001"/>
      <c r="D46" s="4001"/>
      <c r="E46" s="4004"/>
      <c r="F46" s="2818">
        <v>6220</v>
      </c>
      <c r="G46" s="2812"/>
      <c r="H46" s="2813">
        <v>1175000</v>
      </c>
      <c r="I46" s="3132" t="s">
        <v>255</v>
      </c>
      <c r="J46" s="266"/>
      <c r="K46" s="364"/>
      <c r="L46" s="364"/>
      <c r="M46" s="364"/>
      <c r="N46" s="364"/>
    </row>
    <row r="47" spans="1:14" ht="60.75" customHeight="1" thickBot="1">
      <c r="A47" s="4052">
        <v>27</v>
      </c>
      <c r="B47" s="4055" t="s">
        <v>256</v>
      </c>
      <c r="C47" s="4001"/>
      <c r="D47" s="4001"/>
      <c r="E47" s="4004"/>
      <c r="F47" s="392">
        <v>2800</v>
      </c>
      <c r="G47" s="3172">
        <v>103550</v>
      </c>
      <c r="H47" s="3173"/>
      <c r="I47" s="397" t="s">
        <v>1287</v>
      </c>
      <c r="K47" s="364"/>
      <c r="L47" s="364"/>
      <c r="M47" s="364"/>
      <c r="N47" s="364"/>
    </row>
    <row r="48" spans="1:14" ht="48.75" customHeight="1" thickBot="1">
      <c r="A48" s="4053"/>
      <c r="B48" s="4056"/>
      <c r="C48" s="4002"/>
      <c r="D48" s="4002"/>
      <c r="E48" s="4005"/>
      <c r="F48" s="398">
        <v>6220</v>
      </c>
      <c r="G48" s="3166"/>
      <c r="H48" s="3167">
        <v>33702</v>
      </c>
      <c r="I48" s="3130" t="s">
        <v>1288</v>
      </c>
      <c r="K48" s="364"/>
      <c r="L48" s="364"/>
      <c r="M48" s="364"/>
      <c r="N48" s="364"/>
    </row>
    <row r="49" spans="1:14" ht="36.75" customHeight="1" thickBot="1">
      <c r="A49" s="4059">
        <v>28</v>
      </c>
      <c r="B49" s="4060" t="s">
        <v>257</v>
      </c>
      <c r="C49" s="4000">
        <v>921</v>
      </c>
      <c r="D49" s="4000">
        <v>92118</v>
      </c>
      <c r="E49" s="4003" t="s">
        <v>223</v>
      </c>
      <c r="F49" s="398">
        <v>2800</v>
      </c>
      <c r="G49" s="3166">
        <v>47424</v>
      </c>
      <c r="H49" s="3167"/>
      <c r="I49" s="399" t="s">
        <v>258</v>
      </c>
      <c r="K49" s="364"/>
      <c r="L49" s="364"/>
      <c r="M49" s="364"/>
      <c r="N49" s="364"/>
    </row>
    <row r="50" spans="1:14" ht="170.25" customHeight="1" thickBot="1">
      <c r="A50" s="4053"/>
      <c r="B50" s="4061"/>
      <c r="C50" s="4001"/>
      <c r="D50" s="4001"/>
      <c r="E50" s="4004"/>
      <c r="F50" s="398">
        <v>6220</v>
      </c>
      <c r="G50" s="2819"/>
      <c r="H50" s="2820">
        <v>1616840</v>
      </c>
      <c r="I50" s="399" t="s">
        <v>1289</v>
      </c>
      <c r="J50" s="266"/>
      <c r="K50" s="364"/>
      <c r="L50" s="364"/>
      <c r="M50" s="364"/>
      <c r="N50" s="364"/>
    </row>
    <row r="51" spans="1:14" ht="47.25" customHeight="1" thickBot="1">
      <c r="A51" s="400">
        <v>29</v>
      </c>
      <c r="B51" s="401" t="s">
        <v>161</v>
      </c>
      <c r="C51" s="4001"/>
      <c r="D51" s="4001"/>
      <c r="E51" s="4004"/>
      <c r="F51" s="398">
        <v>2800</v>
      </c>
      <c r="G51" s="2819">
        <v>4784</v>
      </c>
      <c r="H51" s="2820"/>
      <c r="I51" s="399" t="s">
        <v>259</v>
      </c>
      <c r="J51" s="266"/>
      <c r="K51" s="364"/>
      <c r="L51" s="364"/>
      <c r="M51" s="364"/>
      <c r="N51" s="364"/>
    </row>
    <row r="52" spans="1:14" ht="38.25" customHeight="1" thickBot="1">
      <c r="A52" s="402">
        <v>30</v>
      </c>
      <c r="B52" s="403" t="s">
        <v>260</v>
      </c>
      <c r="C52" s="4001"/>
      <c r="D52" s="4001"/>
      <c r="E52" s="4004"/>
      <c r="F52" s="392">
        <v>6220</v>
      </c>
      <c r="G52" s="393"/>
      <c r="H52" s="394">
        <v>1257903</v>
      </c>
      <c r="I52" s="397" t="s">
        <v>261</v>
      </c>
      <c r="J52" s="266"/>
      <c r="K52" s="364"/>
      <c r="L52" s="364"/>
      <c r="M52" s="364"/>
      <c r="N52" s="364"/>
    </row>
    <row r="53" spans="1:14" ht="73.5" customHeight="1">
      <c r="A53" s="4059">
        <v>31</v>
      </c>
      <c r="B53" s="4051" t="s">
        <v>262</v>
      </c>
      <c r="C53" s="4001"/>
      <c r="D53" s="4001"/>
      <c r="E53" s="4004"/>
      <c r="F53" s="404">
        <v>2800</v>
      </c>
      <c r="G53" s="2821">
        <v>90000</v>
      </c>
      <c r="H53" s="2822"/>
      <c r="I53" s="405" t="s">
        <v>1290</v>
      </c>
      <c r="J53" s="266"/>
      <c r="K53" s="364"/>
      <c r="L53" s="364"/>
      <c r="M53" s="364"/>
      <c r="N53" s="364"/>
    </row>
    <row r="54" spans="1:14" ht="65.25" customHeight="1" thickBot="1">
      <c r="A54" s="4053"/>
      <c r="B54" s="4054"/>
      <c r="C54" s="4002"/>
      <c r="D54" s="4002"/>
      <c r="E54" s="4005"/>
      <c r="F54" s="406">
        <v>6220</v>
      </c>
      <c r="G54" s="2812"/>
      <c r="H54" s="2813">
        <v>240000</v>
      </c>
      <c r="I54" s="396" t="s">
        <v>263</v>
      </c>
      <c r="J54" s="266"/>
      <c r="K54" s="364"/>
      <c r="L54" s="364"/>
      <c r="M54" s="364"/>
      <c r="N54" s="364"/>
    </row>
    <row r="55" spans="1:14" ht="51" customHeight="1">
      <c r="A55" s="4049">
        <v>32</v>
      </c>
      <c r="B55" s="4051" t="s">
        <v>159</v>
      </c>
      <c r="C55" s="4001">
        <v>921</v>
      </c>
      <c r="D55" s="4001">
        <v>92118</v>
      </c>
      <c r="E55" s="4004" t="s">
        <v>223</v>
      </c>
      <c r="F55" s="407">
        <v>2800</v>
      </c>
      <c r="G55" s="2821">
        <v>40000</v>
      </c>
      <c r="H55" s="2822"/>
      <c r="I55" s="408" t="s">
        <v>264</v>
      </c>
      <c r="K55" s="364"/>
      <c r="L55" s="364"/>
      <c r="M55" s="364"/>
      <c r="N55" s="364"/>
    </row>
    <row r="56" spans="1:14" ht="83.25" customHeight="1" thickBot="1">
      <c r="A56" s="4042"/>
      <c r="B56" s="4054"/>
      <c r="C56" s="4002"/>
      <c r="D56" s="4002"/>
      <c r="E56" s="4005"/>
      <c r="F56" s="385">
        <v>6220</v>
      </c>
      <c r="G56" s="2812"/>
      <c r="H56" s="2813">
        <v>375000</v>
      </c>
      <c r="I56" s="409" t="s">
        <v>265</v>
      </c>
      <c r="J56" s="266"/>
      <c r="K56" s="391"/>
      <c r="L56" s="364"/>
      <c r="M56" s="364"/>
      <c r="N56" s="364"/>
    </row>
    <row r="57" spans="1:14" s="204" customFormat="1" ht="52.5" customHeight="1" thickBot="1">
      <c r="A57" s="4057" t="s">
        <v>76</v>
      </c>
      <c r="B57" s="4058"/>
      <c r="C57" s="3975"/>
      <c r="D57" s="3975"/>
      <c r="E57" s="410">
        <f>SUM(E7:E56)</f>
        <v>118340411</v>
      </c>
      <c r="F57" s="411"/>
      <c r="G57" s="412">
        <f>SUM(G7:G56)</f>
        <v>14994595</v>
      </c>
      <c r="H57" s="2823">
        <f>SUM(H7:H56)</f>
        <v>103345816</v>
      </c>
      <c r="I57" s="413"/>
      <c r="K57" s="414"/>
      <c r="L57" s="414"/>
      <c r="M57" s="414"/>
      <c r="N57" s="414"/>
    </row>
    <row r="58" spans="1:14">
      <c r="G58" s="266"/>
      <c r="H58" s="266"/>
      <c r="K58" s="364"/>
      <c r="L58" s="364"/>
      <c r="M58" s="364"/>
      <c r="N58" s="364"/>
    </row>
    <row r="59" spans="1:14">
      <c r="E59" s="415"/>
      <c r="G59" s="266"/>
      <c r="H59" s="266"/>
      <c r="K59" s="364"/>
      <c r="L59" s="364"/>
      <c r="M59" s="364"/>
      <c r="N59" s="364"/>
    </row>
    <row r="60" spans="1:14">
      <c r="G60" s="266"/>
      <c r="K60" s="364"/>
      <c r="L60" s="364"/>
      <c r="M60" s="364"/>
      <c r="N60" s="364"/>
    </row>
    <row r="61" spans="1:14">
      <c r="G61" s="266"/>
      <c r="H61" s="266"/>
      <c r="K61" s="364"/>
      <c r="L61" s="364"/>
      <c r="M61" s="364"/>
      <c r="N61" s="364"/>
    </row>
    <row r="62" spans="1:14">
      <c r="K62" s="364"/>
      <c r="L62" s="364"/>
      <c r="M62" s="364"/>
      <c r="N62" s="364"/>
    </row>
    <row r="63" spans="1:14">
      <c r="G63" s="266"/>
      <c r="H63" s="266"/>
      <c r="K63" s="364"/>
      <c r="L63" s="364"/>
      <c r="M63" s="364"/>
      <c r="N63" s="364"/>
    </row>
    <row r="64" spans="1:14">
      <c r="G64" s="266"/>
      <c r="H64" s="266"/>
      <c r="K64" s="364"/>
      <c r="L64" s="364"/>
      <c r="M64" s="364"/>
      <c r="N64" s="364"/>
    </row>
    <row r="65" spans="5:14" ht="82.5" customHeight="1">
      <c r="E65" s="415"/>
      <c r="G65" s="266"/>
      <c r="H65" s="266"/>
      <c r="K65" s="364"/>
      <c r="L65" s="364"/>
      <c r="M65" s="364"/>
      <c r="N65" s="364"/>
    </row>
    <row r="66" spans="5:14">
      <c r="H66" s="266"/>
    </row>
    <row r="540" spans="17:17">
      <c r="Q540" s="118">
        <f>P540-O540</f>
        <v>0</v>
      </c>
    </row>
  </sheetData>
  <mergeCells count="85">
    <mergeCell ref="A45:A46"/>
    <mergeCell ref="B45:B46"/>
    <mergeCell ref="E55:E56"/>
    <mergeCell ref="A57:D57"/>
    <mergeCell ref="A47:A48"/>
    <mergeCell ref="B47:B48"/>
    <mergeCell ref="A55:A56"/>
    <mergeCell ref="B55:B56"/>
    <mergeCell ref="C55:C56"/>
    <mergeCell ref="D55:D56"/>
    <mergeCell ref="A49:A50"/>
    <mergeCell ref="B49:B50"/>
    <mergeCell ref="A53:A54"/>
    <mergeCell ref="B53:B54"/>
    <mergeCell ref="D49:D54"/>
    <mergeCell ref="E49:E54"/>
    <mergeCell ref="A41:A42"/>
    <mergeCell ref="B41:B42"/>
    <mergeCell ref="D41:D42"/>
    <mergeCell ref="E41:E42"/>
    <mergeCell ref="A43:A44"/>
    <mergeCell ref="B43:B44"/>
    <mergeCell ref="E43:E44"/>
    <mergeCell ref="E37:E38"/>
    <mergeCell ref="D34:D36"/>
    <mergeCell ref="E34:E36"/>
    <mergeCell ref="C34:C38"/>
    <mergeCell ref="A39:A40"/>
    <mergeCell ref="B39:B40"/>
    <mergeCell ref="D39:D40"/>
    <mergeCell ref="E39:E40"/>
    <mergeCell ref="A35:A36"/>
    <mergeCell ref="B35:B36"/>
    <mergeCell ref="A37:A38"/>
    <mergeCell ref="B37:B38"/>
    <mergeCell ref="D37:D38"/>
    <mergeCell ref="A29:A30"/>
    <mergeCell ref="B29:B30"/>
    <mergeCell ref="C29:C32"/>
    <mergeCell ref="D29:D30"/>
    <mergeCell ref="E29:E30"/>
    <mergeCell ref="A31:A32"/>
    <mergeCell ref="B31:B32"/>
    <mergeCell ref="D31:D32"/>
    <mergeCell ref="E31:E32"/>
    <mergeCell ref="C15:C16"/>
    <mergeCell ref="C17:C19"/>
    <mergeCell ref="C20:C27"/>
    <mergeCell ref="D20:D21"/>
    <mergeCell ref="E20:E21"/>
    <mergeCell ref="D22:D23"/>
    <mergeCell ref="E22:E23"/>
    <mergeCell ref="D24:D25"/>
    <mergeCell ref="E24:E25"/>
    <mergeCell ref="D26:D27"/>
    <mergeCell ref="E26:E27"/>
    <mergeCell ref="D17:D19"/>
    <mergeCell ref="E17:E19"/>
    <mergeCell ref="A11:A13"/>
    <mergeCell ref="B11:B13"/>
    <mergeCell ref="C11:C13"/>
    <mergeCell ref="D11:D13"/>
    <mergeCell ref="E11:E13"/>
    <mergeCell ref="A7:A10"/>
    <mergeCell ref="B7:B10"/>
    <mergeCell ref="C7:C10"/>
    <mergeCell ref="D7:D10"/>
    <mergeCell ref="E7:E10"/>
    <mergeCell ref="A1:C1"/>
    <mergeCell ref="A2:I2"/>
    <mergeCell ref="A4:A6"/>
    <mergeCell ref="B4:B6"/>
    <mergeCell ref="C4:C6"/>
    <mergeCell ref="D4:D6"/>
    <mergeCell ref="E4:E6"/>
    <mergeCell ref="F4:F6"/>
    <mergeCell ref="G4:H4"/>
    <mergeCell ref="I4:I6"/>
    <mergeCell ref="G5:G6"/>
    <mergeCell ref="H5:H6"/>
    <mergeCell ref="C49:C54"/>
    <mergeCell ref="C39:C40"/>
    <mergeCell ref="C41:C48"/>
    <mergeCell ref="E45:E48"/>
    <mergeCell ref="D43:D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Strona &amp;P z &amp;N</oddFooter>
  </headerFooter>
  <rowBreaks count="1" manualBreakCount="1">
    <brk id="48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Q534"/>
  <sheetViews>
    <sheetView view="pageBreakPreview" zoomScaleSheetLayoutView="100" workbookViewId="0">
      <selection activeCell="E27" sqref="E27"/>
    </sheetView>
  </sheetViews>
  <sheetFormatPr defaultRowHeight="12.75"/>
  <cols>
    <col min="1" max="1" width="4.140625" style="118" bestFit="1" customWidth="1"/>
    <col min="2" max="2" width="7.7109375" style="118" customWidth="1"/>
    <col min="3" max="5" width="12.7109375" style="118" customWidth="1"/>
    <col min="6" max="6" width="12.5703125" style="118" customWidth="1"/>
    <col min="7" max="7" width="11.5703125" style="118" bestFit="1" customWidth="1"/>
    <col min="8" max="8" width="82.28515625" style="118" customWidth="1"/>
    <col min="9" max="259" width="9.140625" style="118"/>
    <col min="260" max="260" width="7.140625" style="118" customWidth="1"/>
    <col min="261" max="261" width="10.42578125" style="118" customWidth="1"/>
    <col min="262" max="262" width="12.85546875" style="118" customWidth="1"/>
    <col min="263" max="263" width="13.140625" style="118" customWidth="1"/>
    <col min="264" max="264" width="61" style="118" customWidth="1"/>
    <col min="265" max="515" width="9.140625" style="118"/>
    <col min="516" max="516" width="7.140625" style="118" customWidth="1"/>
    <col min="517" max="517" width="10.42578125" style="118" customWidth="1"/>
    <col min="518" max="518" width="12.85546875" style="118" customWidth="1"/>
    <col min="519" max="519" width="13.140625" style="118" customWidth="1"/>
    <col min="520" max="520" width="61" style="118" customWidth="1"/>
    <col min="521" max="771" width="9.140625" style="118"/>
    <col min="772" max="772" width="7.140625" style="118" customWidth="1"/>
    <col min="773" max="773" width="10.42578125" style="118" customWidth="1"/>
    <col min="774" max="774" width="12.85546875" style="118" customWidth="1"/>
    <col min="775" max="775" width="13.140625" style="118" customWidth="1"/>
    <col min="776" max="776" width="61" style="118" customWidth="1"/>
    <col min="777" max="1027" width="9.140625" style="118"/>
    <col min="1028" max="1028" width="7.140625" style="118" customWidth="1"/>
    <col min="1029" max="1029" width="10.42578125" style="118" customWidth="1"/>
    <col min="1030" max="1030" width="12.85546875" style="118" customWidth="1"/>
    <col min="1031" max="1031" width="13.140625" style="118" customWidth="1"/>
    <col min="1032" max="1032" width="61" style="118" customWidth="1"/>
    <col min="1033" max="1283" width="9.140625" style="118"/>
    <col min="1284" max="1284" width="7.140625" style="118" customWidth="1"/>
    <col min="1285" max="1285" width="10.42578125" style="118" customWidth="1"/>
    <col min="1286" max="1286" width="12.85546875" style="118" customWidth="1"/>
    <col min="1287" max="1287" width="13.140625" style="118" customWidth="1"/>
    <col min="1288" max="1288" width="61" style="118" customWidth="1"/>
    <col min="1289" max="1539" width="9.140625" style="118"/>
    <col min="1540" max="1540" width="7.140625" style="118" customWidth="1"/>
    <col min="1541" max="1541" width="10.42578125" style="118" customWidth="1"/>
    <col min="1542" max="1542" width="12.85546875" style="118" customWidth="1"/>
    <col min="1543" max="1543" width="13.140625" style="118" customWidth="1"/>
    <col min="1544" max="1544" width="61" style="118" customWidth="1"/>
    <col min="1545" max="1795" width="9.140625" style="118"/>
    <col min="1796" max="1796" width="7.140625" style="118" customWidth="1"/>
    <col min="1797" max="1797" width="10.42578125" style="118" customWidth="1"/>
    <col min="1798" max="1798" width="12.85546875" style="118" customWidth="1"/>
    <col min="1799" max="1799" width="13.140625" style="118" customWidth="1"/>
    <col min="1800" max="1800" width="61" style="118" customWidth="1"/>
    <col min="1801" max="2051" width="9.140625" style="118"/>
    <col min="2052" max="2052" width="7.140625" style="118" customWidth="1"/>
    <col min="2053" max="2053" width="10.42578125" style="118" customWidth="1"/>
    <col min="2054" max="2054" width="12.85546875" style="118" customWidth="1"/>
    <col min="2055" max="2055" width="13.140625" style="118" customWidth="1"/>
    <col min="2056" max="2056" width="61" style="118" customWidth="1"/>
    <col min="2057" max="2307" width="9.140625" style="118"/>
    <col min="2308" max="2308" width="7.140625" style="118" customWidth="1"/>
    <col min="2309" max="2309" width="10.42578125" style="118" customWidth="1"/>
    <col min="2310" max="2310" width="12.85546875" style="118" customWidth="1"/>
    <col min="2311" max="2311" width="13.140625" style="118" customWidth="1"/>
    <col min="2312" max="2312" width="61" style="118" customWidth="1"/>
    <col min="2313" max="2563" width="9.140625" style="118"/>
    <col min="2564" max="2564" width="7.140625" style="118" customWidth="1"/>
    <col min="2565" max="2565" width="10.42578125" style="118" customWidth="1"/>
    <col min="2566" max="2566" width="12.85546875" style="118" customWidth="1"/>
    <col min="2567" max="2567" width="13.140625" style="118" customWidth="1"/>
    <col min="2568" max="2568" width="61" style="118" customWidth="1"/>
    <col min="2569" max="2819" width="9.140625" style="118"/>
    <col min="2820" max="2820" width="7.140625" style="118" customWidth="1"/>
    <col min="2821" max="2821" width="10.42578125" style="118" customWidth="1"/>
    <col min="2822" max="2822" width="12.85546875" style="118" customWidth="1"/>
    <col min="2823" max="2823" width="13.140625" style="118" customWidth="1"/>
    <col min="2824" max="2824" width="61" style="118" customWidth="1"/>
    <col min="2825" max="3075" width="9.140625" style="118"/>
    <col min="3076" max="3076" width="7.140625" style="118" customWidth="1"/>
    <col min="3077" max="3077" width="10.42578125" style="118" customWidth="1"/>
    <col min="3078" max="3078" width="12.85546875" style="118" customWidth="1"/>
    <col min="3079" max="3079" width="13.140625" style="118" customWidth="1"/>
    <col min="3080" max="3080" width="61" style="118" customWidth="1"/>
    <col min="3081" max="3331" width="9.140625" style="118"/>
    <col min="3332" max="3332" width="7.140625" style="118" customWidth="1"/>
    <col min="3333" max="3333" width="10.42578125" style="118" customWidth="1"/>
    <col min="3334" max="3334" width="12.85546875" style="118" customWidth="1"/>
    <col min="3335" max="3335" width="13.140625" style="118" customWidth="1"/>
    <col min="3336" max="3336" width="61" style="118" customWidth="1"/>
    <col min="3337" max="3587" width="9.140625" style="118"/>
    <col min="3588" max="3588" width="7.140625" style="118" customWidth="1"/>
    <col min="3589" max="3589" width="10.42578125" style="118" customWidth="1"/>
    <col min="3590" max="3590" width="12.85546875" style="118" customWidth="1"/>
    <col min="3591" max="3591" width="13.140625" style="118" customWidth="1"/>
    <col min="3592" max="3592" width="61" style="118" customWidth="1"/>
    <col min="3593" max="3843" width="9.140625" style="118"/>
    <col min="3844" max="3844" width="7.140625" style="118" customWidth="1"/>
    <col min="3845" max="3845" width="10.42578125" style="118" customWidth="1"/>
    <col min="3846" max="3846" width="12.85546875" style="118" customWidth="1"/>
    <col min="3847" max="3847" width="13.140625" style="118" customWidth="1"/>
    <col min="3848" max="3848" width="61" style="118" customWidth="1"/>
    <col min="3849" max="4099" width="9.140625" style="118"/>
    <col min="4100" max="4100" width="7.140625" style="118" customWidth="1"/>
    <col min="4101" max="4101" width="10.42578125" style="118" customWidth="1"/>
    <col min="4102" max="4102" width="12.85546875" style="118" customWidth="1"/>
    <col min="4103" max="4103" width="13.140625" style="118" customWidth="1"/>
    <col min="4104" max="4104" width="61" style="118" customWidth="1"/>
    <col min="4105" max="4355" width="9.140625" style="118"/>
    <col min="4356" max="4356" width="7.140625" style="118" customWidth="1"/>
    <col min="4357" max="4357" width="10.42578125" style="118" customWidth="1"/>
    <col min="4358" max="4358" width="12.85546875" style="118" customWidth="1"/>
    <col min="4359" max="4359" width="13.140625" style="118" customWidth="1"/>
    <col min="4360" max="4360" width="61" style="118" customWidth="1"/>
    <col min="4361" max="4611" width="9.140625" style="118"/>
    <col min="4612" max="4612" width="7.140625" style="118" customWidth="1"/>
    <col min="4613" max="4613" width="10.42578125" style="118" customWidth="1"/>
    <col min="4614" max="4614" width="12.85546875" style="118" customWidth="1"/>
    <col min="4615" max="4615" width="13.140625" style="118" customWidth="1"/>
    <col min="4616" max="4616" width="61" style="118" customWidth="1"/>
    <col min="4617" max="4867" width="9.140625" style="118"/>
    <col min="4868" max="4868" width="7.140625" style="118" customWidth="1"/>
    <col min="4869" max="4869" width="10.42578125" style="118" customWidth="1"/>
    <col min="4870" max="4870" width="12.85546875" style="118" customWidth="1"/>
    <col min="4871" max="4871" width="13.140625" style="118" customWidth="1"/>
    <col min="4872" max="4872" width="61" style="118" customWidth="1"/>
    <col min="4873" max="5123" width="9.140625" style="118"/>
    <col min="5124" max="5124" width="7.140625" style="118" customWidth="1"/>
    <col min="5125" max="5125" width="10.42578125" style="118" customWidth="1"/>
    <col min="5126" max="5126" width="12.85546875" style="118" customWidth="1"/>
    <col min="5127" max="5127" width="13.140625" style="118" customWidth="1"/>
    <col min="5128" max="5128" width="61" style="118" customWidth="1"/>
    <col min="5129" max="5379" width="9.140625" style="118"/>
    <col min="5380" max="5380" width="7.140625" style="118" customWidth="1"/>
    <col min="5381" max="5381" width="10.42578125" style="118" customWidth="1"/>
    <col min="5382" max="5382" width="12.85546875" style="118" customWidth="1"/>
    <col min="5383" max="5383" width="13.140625" style="118" customWidth="1"/>
    <col min="5384" max="5384" width="61" style="118" customWidth="1"/>
    <col min="5385" max="5635" width="9.140625" style="118"/>
    <col min="5636" max="5636" width="7.140625" style="118" customWidth="1"/>
    <col min="5637" max="5637" width="10.42578125" style="118" customWidth="1"/>
    <col min="5638" max="5638" width="12.85546875" style="118" customWidth="1"/>
    <col min="5639" max="5639" width="13.140625" style="118" customWidth="1"/>
    <col min="5640" max="5640" width="61" style="118" customWidth="1"/>
    <col min="5641" max="5891" width="9.140625" style="118"/>
    <col min="5892" max="5892" width="7.140625" style="118" customWidth="1"/>
    <col min="5893" max="5893" width="10.42578125" style="118" customWidth="1"/>
    <col min="5894" max="5894" width="12.85546875" style="118" customWidth="1"/>
    <col min="5895" max="5895" width="13.140625" style="118" customWidth="1"/>
    <col min="5896" max="5896" width="61" style="118" customWidth="1"/>
    <col min="5897" max="6147" width="9.140625" style="118"/>
    <col min="6148" max="6148" width="7.140625" style="118" customWidth="1"/>
    <col min="6149" max="6149" width="10.42578125" style="118" customWidth="1"/>
    <col min="6150" max="6150" width="12.85546875" style="118" customWidth="1"/>
    <col min="6151" max="6151" width="13.140625" style="118" customWidth="1"/>
    <col min="6152" max="6152" width="61" style="118" customWidth="1"/>
    <col min="6153" max="6403" width="9.140625" style="118"/>
    <col min="6404" max="6404" width="7.140625" style="118" customWidth="1"/>
    <col min="6405" max="6405" width="10.42578125" style="118" customWidth="1"/>
    <col min="6406" max="6406" width="12.85546875" style="118" customWidth="1"/>
    <col min="6407" max="6407" width="13.140625" style="118" customWidth="1"/>
    <col min="6408" max="6408" width="61" style="118" customWidth="1"/>
    <col min="6409" max="6659" width="9.140625" style="118"/>
    <col min="6660" max="6660" width="7.140625" style="118" customWidth="1"/>
    <col min="6661" max="6661" width="10.42578125" style="118" customWidth="1"/>
    <col min="6662" max="6662" width="12.85546875" style="118" customWidth="1"/>
    <col min="6663" max="6663" width="13.140625" style="118" customWidth="1"/>
    <col min="6664" max="6664" width="61" style="118" customWidth="1"/>
    <col min="6665" max="6915" width="9.140625" style="118"/>
    <col min="6916" max="6916" width="7.140625" style="118" customWidth="1"/>
    <col min="6917" max="6917" width="10.42578125" style="118" customWidth="1"/>
    <col min="6918" max="6918" width="12.85546875" style="118" customWidth="1"/>
    <col min="6919" max="6919" width="13.140625" style="118" customWidth="1"/>
    <col min="6920" max="6920" width="61" style="118" customWidth="1"/>
    <col min="6921" max="7171" width="9.140625" style="118"/>
    <col min="7172" max="7172" width="7.140625" style="118" customWidth="1"/>
    <col min="7173" max="7173" width="10.42578125" style="118" customWidth="1"/>
    <col min="7174" max="7174" width="12.85546875" style="118" customWidth="1"/>
    <col min="7175" max="7175" width="13.140625" style="118" customWidth="1"/>
    <col min="7176" max="7176" width="61" style="118" customWidth="1"/>
    <col min="7177" max="7427" width="9.140625" style="118"/>
    <col min="7428" max="7428" width="7.140625" style="118" customWidth="1"/>
    <col min="7429" max="7429" width="10.42578125" style="118" customWidth="1"/>
    <col min="7430" max="7430" width="12.85546875" style="118" customWidth="1"/>
    <col min="7431" max="7431" width="13.140625" style="118" customWidth="1"/>
    <col min="7432" max="7432" width="61" style="118" customWidth="1"/>
    <col min="7433" max="7683" width="9.140625" style="118"/>
    <col min="7684" max="7684" width="7.140625" style="118" customWidth="1"/>
    <col min="7685" max="7685" width="10.42578125" style="118" customWidth="1"/>
    <col min="7686" max="7686" width="12.85546875" style="118" customWidth="1"/>
    <col min="7687" max="7687" width="13.140625" style="118" customWidth="1"/>
    <col min="7688" max="7688" width="61" style="118" customWidth="1"/>
    <col min="7689" max="7939" width="9.140625" style="118"/>
    <col min="7940" max="7940" width="7.140625" style="118" customWidth="1"/>
    <col min="7941" max="7941" width="10.42578125" style="118" customWidth="1"/>
    <col min="7942" max="7942" width="12.85546875" style="118" customWidth="1"/>
    <col min="7943" max="7943" width="13.140625" style="118" customWidth="1"/>
    <col min="7944" max="7944" width="61" style="118" customWidth="1"/>
    <col min="7945" max="8195" width="9.140625" style="118"/>
    <col min="8196" max="8196" width="7.140625" style="118" customWidth="1"/>
    <col min="8197" max="8197" width="10.42578125" style="118" customWidth="1"/>
    <col min="8198" max="8198" width="12.85546875" style="118" customWidth="1"/>
    <col min="8199" max="8199" width="13.140625" style="118" customWidth="1"/>
    <col min="8200" max="8200" width="61" style="118" customWidth="1"/>
    <col min="8201" max="8451" width="9.140625" style="118"/>
    <col min="8452" max="8452" width="7.140625" style="118" customWidth="1"/>
    <col min="8453" max="8453" width="10.42578125" style="118" customWidth="1"/>
    <col min="8454" max="8454" width="12.85546875" style="118" customWidth="1"/>
    <col min="8455" max="8455" width="13.140625" style="118" customWidth="1"/>
    <col min="8456" max="8456" width="61" style="118" customWidth="1"/>
    <col min="8457" max="8707" width="9.140625" style="118"/>
    <col min="8708" max="8708" width="7.140625" style="118" customWidth="1"/>
    <col min="8709" max="8709" width="10.42578125" style="118" customWidth="1"/>
    <col min="8710" max="8710" width="12.85546875" style="118" customWidth="1"/>
    <col min="8711" max="8711" width="13.140625" style="118" customWidth="1"/>
    <col min="8712" max="8712" width="61" style="118" customWidth="1"/>
    <col min="8713" max="8963" width="9.140625" style="118"/>
    <col min="8964" max="8964" width="7.140625" style="118" customWidth="1"/>
    <col min="8965" max="8965" width="10.42578125" style="118" customWidth="1"/>
    <col min="8966" max="8966" width="12.85546875" style="118" customWidth="1"/>
    <col min="8967" max="8967" width="13.140625" style="118" customWidth="1"/>
    <col min="8968" max="8968" width="61" style="118" customWidth="1"/>
    <col min="8969" max="9219" width="9.140625" style="118"/>
    <col min="9220" max="9220" width="7.140625" style="118" customWidth="1"/>
    <col min="9221" max="9221" width="10.42578125" style="118" customWidth="1"/>
    <col min="9222" max="9222" width="12.85546875" style="118" customWidth="1"/>
    <col min="9223" max="9223" width="13.140625" style="118" customWidth="1"/>
    <col min="9224" max="9224" width="61" style="118" customWidth="1"/>
    <col min="9225" max="9475" width="9.140625" style="118"/>
    <col min="9476" max="9476" width="7.140625" style="118" customWidth="1"/>
    <col min="9477" max="9477" width="10.42578125" style="118" customWidth="1"/>
    <col min="9478" max="9478" width="12.85546875" style="118" customWidth="1"/>
    <col min="9479" max="9479" width="13.140625" style="118" customWidth="1"/>
    <col min="9480" max="9480" width="61" style="118" customWidth="1"/>
    <col min="9481" max="9731" width="9.140625" style="118"/>
    <col min="9732" max="9732" width="7.140625" style="118" customWidth="1"/>
    <col min="9733" max="9733" width="10.42578125" style="118" customWidth="1"/>
    <col min="9734" max="9734" width="12.85546875" style="118" customWidth="1"/>
    <col min="9735" max="9735" width="13.140625" style="118" customWidth="1"/>
    <col min="9736" max="9736" width="61" style="118" customWidth="1"/>
    <col min="9737" max="9987" width="9.140625" style="118"/>
    <col min="9988" max="9988" width="7.140625" style="118" customWidth="1"/>
    <col min="9989" max="9989" width="10.42578125" style="118" customWidth="1"/>
    <col min="9990" max="9990" width="12.85546875" style="118" customWidth="1"/>
    <col min="9991" max="9991" width="13.140625" style="118" customWidth="1"/>
    <col min="9992" max="9992" width="61" style="118" customWidth="1"/>
    <col min="9993" max="10243" width="9.140625" style="118"/>
    <col min="10244" max="10244" width="7.140625" style="118" customWidth="1"/>
    <col min="10245" max="10245" width="10.42578125" style="118" customWidth="1"/>
    <col min="10246" max="10246" width="12.85546875" style="118" customWidth="1"/>
    <col min="10247" max="10247" width="13.140625" style="118" customWidth="1"/>
    <col min="10248" max="10248" width="61" style="118" customWidth="1"/>
    <col min="10249" max="10499" width="9.140625" style="118"/>
    <col min="10500" max="10500" width="7.140625" style="118" customWidth="1"/>
    <col min="10501" max="10501" width="10.42578125" style="118" customWidth="1"/>
    <col min="10502" max="10502" width="12.85546875" style="118" customWidth="1"/>
    <col min="10503" max="10503" width="13.140625" style="118" customWidth="1"/>
    <col min="10504" max="10504" width="61" style="118" customWidth="1"/>
    <col min="10505" max="10755" width="9.140625" style="118"/>
    <col min="10756" max="10756" width="7.140625" style="118" customWidth="1"/>
    <col min="10757" max="10757" width="10.42578125" style="118" customWidth="1"/>
    <col min="10758" max="10758" width="12.85546875" style="118" customWidth="1"/>
    <col min="10759" max="10759" width="13.140625" style="118" customWidth="1"/>
    <col min="10760" max="10760" width="61" style="118" customWidth="1"/>
    <col min="10761" max="11011" width="9.140625" style="118"/>
    <col min="11012" max="11012" width="7.140625" style="118" customWidth="1"/>
    <col min="11013" max="11013" width="10.42578125" style="118" customWidth="1"/>
    <col min="11014" max="11014" width="12.85546875" style="118" customWidth="1"/>
    <col min="11015" max="11015" width="13.140625" style="118" customWidth="1"/>
    <col min="11016" max="11016" width="61" style="118" customWidth="1"/>
    <col min="11017" max="11267" width="9.140625" style="118"/>
    <col min="11268" max="11268" width="7.140625" style="118" customWidth="1"/>
    <col min="11269" max="11269" width="10.42578125" style="118" customWidth="1"/>
    <col min="11270" max="11270" width="12.85546875" style="118" customWidth="1"/>
    <col min="11271" max="11271" width="13.140625" style="118" customWidth="1"/>
    <col min="11272" max="11272" width="61" style="118" customWidth="1"/>
    <col min="11273" max="11523" width="9.140625" style="118"/>
    <col min="11524" max="11524" width="7.140625" style="118" customWidth="1"/>
    <col min="11525" max="11525" width="10.42578125" style="118" customWidth="1"/>
    <col min="11526" max="11526" width="12.85546875" style="118" customWidth="1"/>
    <col min="11527" max="11527" width="13.140625" style="118" customWidth="1"/>
    <col min="11528" max="11528" width="61" style="118" customWidth="1"/>
    <col min="11529" max="11779" width="9.140625" style="118"/>
    <col min="11780" max="11780" width="7.140625" style="118" customWidth="1"/>
    <col min="11781" max="11781" width="10.42578125" style="118" customWidth="1"/>
    <col min="11782" max="11782" width="12.85546875" style="118" customWidth="1"/>
    <col min="11783" max="11783" width="13.140625" style="118" customWidth="1"/>
    <col min="11784" max="11784" width="61" style="118" customWidth="1"/>
    <col min="11785" max="12035" width="9.140625" style="118"/>
    <col min="12036" max="12036" width="7.140625" style="118" customWidth="1"/>
    <col min="12037" max="12037" width="10.42578125" style="118" customWidth="1"/>
    <col min="12038" max="12038" width="12.85546875" style="118" customWidth="1"/>
    <col min="12039" max="12039" width="13.140625" style="118" customWidth="1"/>
    <col min="12040" max="12040" width="61" style="118" customWidth="1"/>
    <col min="12041" max="12291" width="9.140625" style="118"/>
    <col min="12292" max="12292" width="7.140625" style="118" customWidth="1"/>
    <col min="12293" max="12293" width="10.42578125" style="118" customWidth="1"/>
    <col min="12294" max="12294" width="12.85546875" style="118" customWidth="1"/>
    <col min="12295" max="12295" width="13.140625" style="118" customWidth="1"/>
    <col min="12296" max="12296" width="61" style="118" customWidth="1"/>
    <col min="12297" max="12547" width="9.140625" style="118"/>
    <col min="12548" max="12548" width="7.140625" style="118" customWidth="1"/>
    <col min="12549" max="12549" width="10.42578125" style="118" customWidth="1"/>
    <col min="12550" max="12550" width="12.85546875" style="118" customWidth="1"/>
    <col min="12551" max="12551" width="13.140625" style="118" customWidth="1"/>
    <col min="12552" max="12552" width="61" style="118" customWidth="1"/>
    <col min="12553" max="12803" width="9.140625" style="118"/>
    <col min="12804" max="12804" width="7.140625" style="118" customWidth="1"/>
    <col min="12805" max="12805" width="10.42578125" style="118" customWidth="1"/>
    <col min="12806" max="12806" width="12.85546875" style="118" customWidth="1"/>
    <col min="12807" max="12807" width="13.140625" style="118" customWidth="1"/>
    <col min="12808" max="12808" width="61" style="118" customWidth="1"/>
    <col min="12809" max="13059" width="9.140625" style="118"/>
    <col min="13060" max="13060" width="7.140625" style="118" customWidth="1"/>
    <col min="13061" max="13061" width="10.42578125" style="118" customWidth="1"/>
    <col min="13062" max="13062" width="12.85546875" style="118" customWidth="1"/>
    <col min="13063" max="13063" width="13.140625" style="118" customWidth="1"/>
    <col min="13064" max="13064" width="61" style="118" customWidth="1"/>
    <col min="13065" max="13315" width="9.140625" style="118"/>
    <col min="13316" max="13316" width="7.140625" style="118" customWidth="1"/>
    <col min="13317" max="13317" width="10.42578125" style="118" customWidth="1"/>
    <col min="13318" max="13318" width="12.85546875" style="118" customWidth="1"/>
    <col min="13319" max="13319" width="13.140625" style="118" customWidth="1"/>
    <col min="13320" max="13320" width="61" style="118" customWidth="1"/>
    <col min="13321" max="13571" width="9.140625" style="118"/>
    <col min="13572" max="13572" width="7.140625" style="118" customWidth="1"/>
    <col min="13573" max="13573" width="10.42578125" style="118" customWidth="1"/>
    <col min="13574" max="13574" width="12.85546875" style="118" customWidth="1"/>
    <col min="13575" max="13575" width="13.140625" style="118" customWidth="1"/>
    <col min="13576" max="13576" width="61" style="118" customWidth="1"/>
    <col min="13577" max="13827" width="9.140625" style="118"/>
    <col min="13828" max="13828" width="7.140625" style="118" customWidth="1"/>
    <col min="13829" max="13829" width="10.42578125" style="118" customWidth="1"/>
    <col min="13830" max="13830" width="12.85546875" style="118" customWidth="1"/>
    <col min="13831" max="13831" width="13.140625" style="118" customWidth="1"/>
    <col min="13832" max="13832" width="61" style="118" customWidth="1"/>
    <col min="13833" max="14083" width="9.140625" style="118"/>
    <col min="14084" max="14084" width="7.140625" style="118" customWidth="1"/>
    <col min="14085" max="14085" width="10.42578125" style="118" customWidth="1"/>
    <col min="14086" max="14086" width="12.85546875" style="118" customWidth="1"/>
    <col min="14087" max="14087" width="13.140625" style="118" customWidth="1"/>
    <col min="14088" max="14088" width="61" style="118" customWidth="1"/>
    <col min="14089" max="14339" width="9.140625" style="118"/>
    <col min="14340" max="14340" width="7.140625" style="118" customWidth="1"/>
    <col min="14341" max="14341" width="10.42578125" style="118" customWidth="1"/>
    <col min="14342" max="14342" width="12.85546875" style="118" customWidth="1"/>
    <col min="14343" max="14343" width="13.140625" style="118" customWidth="1"/>
    <col min="14344" max="14344" width="61" style="118" customWidth="1"/>
    <col min="14345" max="14595" width="9.140625" style="118"/>
    <col min="14596" max="14596" width="7.140625" style="118" customWidth="1"/>
    <col min="14597" max="14597" width="10.42578125" style="118" customWidth="1"/>
    <col min="14598" max="14598" width="12.85546875" style="118" customWidth="1"/>
    <col min="14599" max="14599" width="13.140625" style="118" customWidth="1"/>
    <col min="14600" max="14600" width="61" style="118" customWidth="1"/>
    <col min="14601" max="14851" width="9.140625" style="118"/>
    <col min="14852" max="14852" width="7.140625" style="118" customWidth="1"/>
    <col min="14853" max="14853" width="10.42578125" style="118" customWidth="1"/>
    <col min="14854" max="14854" width="12.85546875" style="118" customWidth="1"/>
    <col min="14855" max="14855" width="13.140625" style="118" customWidth="1"/>
    <col min="14856" max="14856" width="61" style="118" customWidth="1"/>
    <col min="14857" max="15107" width="9.140625" style="118"/>
    <col min="15108" max="15108" width="7.140625" style="118" customWidth="1"/>
    <col min="15109" max="15109" width="10.42578125" style="118" customWidth="1"/>
    <col min="15110" max="15110" width="12.85546875" style="118" customWidth="1"/>
    <col min="15111" max="15111" width="13.140625" style="118" customWidth="1"/>
    <col min="15112" max="15112" width="61" style="118" customWidth="1"/>
    <col min="15113" max="15363" width="9.140625" style="118"/>
    <col min="15364" max="15364" width="7.140625" style="118" customWidth="1"/>
    <col min="15365" max="15365" width="10.42578125" style="118" customWidth="1"/>
    <col min="15366" max="15366" width="12.85546875" style="118" customWidth="1"/>
    <col min="15367" max="15367" width="13.140625" style="118" customWidth="1"/>
    <col min="15368" max="15368" width="61" style="118" customWidth="1"/>
    <col min="15369" max="15619" width="9.140625" style="118"/>
    <col min="15620" max="15620" width="7.140625" style="118" customWidth="1"/>
    <col min="15621" max="15621" width="10.42578125" style="118" customWidth="1"/>
    <col min="15622" max="15622" width="12.85546875" style="118" customWidth="1"/>
    <col min="15623" max="15623" width="13.140625" style="118" customWidth="1"/>
    <col min="15624" max="15624" width="61" style="118" customWidth="1"/>
    <col min="15625" max="15875" width="9.140625" style="118"/>
    <col min="15876" max="15876" width="7.140625" style="118" customWidth="1"/>
    <col min="15877" max="15877" width="10.42578125" style="118" customWidth="1"/>
    <col min="15878" max="15878" width="12.85546875" style="118" customWidth="1"/>
    <col min="15879" max="15879" width="13.140625" style="118" customWidth="1"/>
    <col min="15880" max="15880" width="61" style="118" customWidth="1"/>
    <col min="15881" max="16131" width="9.140625" style="118"/>
    <col min="16132" max="16132" width="7.140625" style="118" customWidth="1"/>
    <col min="16133" max="16133" width="10.42578125" style="118" customWidth="1"/>
    <col min="16134" max="16134" width="12.85546875" style="118" customWidth="1"/>
    <col min="16135" max="16135" width="13.140625" style="118" customWidth="1"/>
    <col min="16136" max="16136" width="61" style="118" customWidth="1"/>
    <col min="16137" max="16384" width="9.140625" style="118"/>
  </cols>
  <sheetData>
    <row r="1" spans="1:8" ht="60" customHeight="1">
      <c r="B1" s="4076"/>
      <c r="C1" s="4076"/>
      <c r="D1" s="4076"/>
      <c r="E1" s="4076"/>
      <c r="F1" s="4077"/>
      <c r="G1" s="120"/>
      <c r="H1" s="121" t="s">
        <v>1453</v>
      </c>
    </row>
    <row r="2" spans="1:8" ht="51.75" customHeight="1" thickBot="1">
      <c r="A2" s="4007" t="s">
        <v>83</v>
      </c>
      <c r="B2" s="4007"/>
      <c r="C2" s="4007"/>
      <c r="D2" s="4007"/>
      <c r="E2" s="4007"/>
      <c r="F2" s="4007"/>
      <c r="G2" s="4007"/>
      <c r="H2" s="4007"/>
    </row>
    <row r="3" spans="1:8" ht="36" customHeight="1" thickBot="1">
      <c r="A3" s="3974" t="s">
        <v>84</v>
      </c>
      <c r="B3" s="4008" t="s">
        <v>0</v>
      </c>
      <c r="C3" s="4008" t="s">
        <v>30</v>
      </c>
      <c r="D3" s="4010" t="s">
        <v>2</v>
      </c>
      <c r="E3" s="4078" t="s">
        <v>85</v>
      </c>
      <c r="F3" s="4080" t="s">
        <v>1</v>
      </c>
      <c r="G3" s="4081"/>
      <c r="H3" s="4082" t="s">
        <v>86</v>
      </c>
    </row>
    <row r="4" spans="1:8" ht="24" customHeight="1" thickBot="1">
      <c r="A4" s="3974"/>
      <c r="B4" s="4008"/>
      <c r="C4" s="4008"/>
      <c r="D4" s="4010"/>
      <c r="E4" s="4079"/>
      <c r="F4" s="122" t="s">
        <v>87</v>
      </c>
      <c r="G4" s="123" t="s">
        <v>88</v>
      </c>
      <c r="H4" s="4083"/>
    </row>
    <row r="5" spans="1:8" ht="62.25" customHeight="1" thickBot="1">
      <c r="A5" s="124">
        <v>1</v>
      </c>
      <c r="B5" s="125" t="s">
        <v>6</v>
      </c>
      <c r="C5" s="125" t="s">
        <v>7</v>
      </c>
      <c r="D5" s="126">
        <v>2360</v>
      </c>
      <c r="E5" s="127">
        <f>SUM(F5:G5)</f>
        <v>3371500</v>
      </c>
      <c r="F5" s="128">
        <v>3371500</v>
      </c>
      <c r="G5" s="129">
        <v>0</v>
      </c>
      <c r="H5" s="130" t="s">
        <v>89</v>
      </c>
    </row>
    <row r="6" spans="1:8" ht="68.25" customHeight="1" thickBot="1">
      <c r="A6" s="131">
        <v>2</v>
      </c>
      <c r="B6" s="132" t="s">
        <v>33</v>
      </c>
      <c r="C6" s="132" t="s">
        <v>90</v>
      </c>
      <c r="D6" s="133">
        <v>2830</v>
      </c>
      <c r="E6" s="127">
        <f>SUM(F6:G6)</f>
        <v>89377132</v>
      </c>
      <c r="F6" s="128">
        <v>89377132</v>
      </c>
      <c r="G6" s="134">
        <v>0</v>
      </c>
      <c r="H6" s="135" t="s">
        <v>91</v>
      </c>
    </row>
    <row r="7" spans="1:8" ht="51.75" customHeight="1" thickBot="1">
      <c r="A7" s="131">
        <v>3</v>
      </c>
      <c r="B7" s="132" t="s">
        <v>36</v>
      </c>
      <c r="C7" s="132" t="s">
        <v>92</v>
      </c>
      <c r="D7" s="133">
        <v>2360</v>
      </c>
      <c r="E7" s="127">
        <f t="shared" ref="E7:E23" si="0">SUM(F7:G7)</f>
        <v>1426000</v>
      </c>
      <c r="F7" s="128">
        <v>1426000</v>
      </c>
      <c r="G7" s="134">
        <v>0</v>
      </c>
      <c r="H7" s="135" t="s">
        <v>1438</v>
      </c>
    </row>
    <row r="8" spans="1:8" ht="18.75" customHeight="1" thickBot="1">
      <c r="A8" s="131">
        <v>4</v>
      </c>
      <c r="B8" s="132" t="s">
        <v>93</v>
      </c>
      <c r="C8" s="132" t="s">
        <v>94</v>
      </c>
      <c r="D8" s="133">
        <v>2360</v>
      </c>
      <c r="E8" s="127">
        <f t="shared" si="0"/>
        <v>50000</v>
      </c>
      <c r="F8" s="128">
        <v>50000</v>
      </c>
      <c r="G8" s="134">
        <v>0</v>
      </c>
      <c r="H8" s="135" t="s">
        <v>95</v>
      </c>
    </row>
    <row r="9" spans="1:8" ht="21" customHeight="1" thickBot="1">
      <c r="A9" s="136">
        <v>5</v>
      </c>
      <c r="B9" s="136">
        <v>754</v>
      </c>
      <c r="C9" s="136">
        <v>75415</v>
      </c>
      <c r="D9" s="137">
        <v>2360</v>
      </c>
      <c r="E9" s="138">
        <f t="shared" si="0"/>
        <v>526000</v>
      </c>
      <c r="F9" s="139">
        <v>526000</v>
      </c>
      <c r="G9" s="140">
        <v>0</v>
      </c>
      <c r="H9" s="141" t="s">
        <v>96</v>
      </c>
    </row>
    <row r="10" spans="1:8" ht="32.25" customHeight="1">
      <c r="A10" s="4062">
        <v>6</v>
      </c>
      <c r="B10" s="4064" t="s">
        <v>44</v>
      </c>
      <c r="C10" s="142" t="s">
        <v>97</v>
      </c>
      <c r="D10" s="143">
        <v>2360</v>
      </c>
      <c r="E10" s="138">
        <f t="shared" si="0"/>
        <v>150000</v>
      </c>
      <c r="F10" s="144">
        <v>150000</v>
      </c>
      <c r="G10" s="145">
        <v>0</v>
      </c>
      <c r="H10" s="146" t="s">
        <v>98</v>
      </c>
    </row>
    <row r="11" spans="1:8" ht="49.5" customHeight="1">
      <c r="A11" s="4072"/>
      <c r="B11" s="4073"/>
      <c r="C11" s="147" t="s">
        <v>99</v>
      </c>
      <c r="D11" s="148">
        <v>2360</v>
      </c>
      <c r="E11" s="149">
        <f t="shared" si="0"/>
        <v>437500</v>
      </c>
      <c r="F11" s="150">
        <v>437500</v>
      </c>
      <c r="G11" s="151">
        <v>0</v>
      </c>
      <c r="H11" s="152" t="s">
        <v>100</v>
      </c>
    </row>
    <row r="12" spans="1:8" ht="38.25" customHeight="1" thickBot="1">
      <c r="A12" s="4063"/>
      <c r="B12" s="4065"/>
      <c r="C12" s="153" t="s">
        <v>48</v>
      </c>
      <c r="D12" s="154">
        <v>2360</v>
      </c>
      <c r="E12" s="155">
        <f t="shared" si="0"/>
        <v>90000</v>
      </c>
      <c r="F12" s="156">
        <v>90000</v>
      </c>
      <c r="G12" s="157">
        <v>0</v>
      </c>
      <c r="H12" s="158" t="s">
        <v>101</v>
      </c>
    </row>
    <row r="13" spans="1:8" ht="34.5" customHeight="1">
      <c r="A13" s="4062">
        <v>7</v>
      </c>
      <c r="B13" s="4068" t="s">
        <v>102</v>
      </c>
      <c r="C13" s="142" t="s">
        <v>103</v>
      </c>
      <c r="D13" s="143">
        <v>2360</v>
      </c>
      <c r="E13" s="138">
        <f t="shared" si="0"/>
        <v>200000</v>
      </c>
      <c r="F13" s="144">
        <v>200000</v>
      </c>
      <c r="G13" s="145">
        <v>0</v>
      </c>
      <c r="H13" s="159" t="s">
        <v>104</v>
      </c>
    </row>
    <row r="14" spans="1:8" ht="41.25" customHeight="1" thickBot="1">
      <c r="A14" s="4063"/>
      <c r="B14" s="4069"/>
      <c r="C14" s="160" t="s">
        <v>105</v>
      </c>
      <c r="D14" s="161">
        <v>2360</v>
      </c>
      <c r="E14" s="129">
        <f t="shared" si="0"/>
        <v>800000</v>
      </c>
      <c r="F14" s="162">
        <v>800000</v>
      </c>
      <c r="G14" s="163">
        <v>0</v>
      </c>
      <c r="H14" s="164" t="s">
        <v>106</v>
      </c>
    </row>
    <row r="15" spans="1:8" ht="63" customHeight="1" thickBot="1">
      <c r="A15" s="131">
        <v>8</v>
      </c>
      <c r="B15" s="165" t="s">
        <v>49</v>
      </c>
      <c r="C15" s="165" t="s">
        <v>107</v>
      </c>
      <c r="D15" s="166">
        <v>2360</v>
      </c>
      <c r="E15" s="134">
        <f t="shared" si="0"/>
        <v>800000</v>
      </c>
      <c r="F15" s="167">
        <v>800000</v>
      </c>
      <c r="G15" s="168">
        <v>0</v>
      </c>
      <c r="H15" s="169" t="s">
        <v>108</v>
      </c>
    </row>
    <row r="16" spans="1:8" ht="46.5" customHeight="1" thickBot="1">
      <c r="A16" s="4074">
        <v>9</v>
      </c>
      <c r="B16" s="4064" t="s">
        <v>52</v>
      </c>
      <c r="C16" s="165" t="s">
        <v>109</v>
      </c>
      <c r="D16" s="166">
        <v>2360</v>
      </c>
      <c r="E16" s="127">
        <f t="shared" si="0"/>
        <v>250000</v>
      </c>
      <c r="F16" s="167">
        <v>250000</v>
      </c>
      <c r="G16" s="168">
        <v>0</v>
      </c>
      <c r="H16" s="169" t="s">
        <v>110</v>
      </c>
    </row>
    <row r="17" spans="1:8" ht="35.25" customHeight="1" thickBot="1">
      <c r="A17" s="4075"/>
      <c r="B17" s="4065"/>
      <c r="C17" s="165" t="s">
        <v>111</v>
      </c>
      <c r="D17" s="166">
        <v>2360</v>
      </c>
      <c r="E17" s="127">
        <f t="shared" si="0"/>
        <v>4390762</v>
      </c>
      <c r="F17" s="167">
        <v>4390762</v>
      </c>
      <c r="G17" s="168">
        <v>0</v>
      </c>
      <c r="H17" s="169" t="s">
        <v>112</v>
      </c>
    </row>
    <row r="18" spans="1:8" ht="39.75" customHeight="1" thickBot="1">
      <c r="A18" s="170">
        <v>10</v>
      </c>
      <c r="B18" s="171" t="s">
        <v>113</v>
      </c>
      <c r="C18" s="165" t="s">
        <v>114</v>
      </c>
      <c r="D18" s="166">
        <v>2360</v>
      </c>
      <c r="E18" s="127">
        <f t="shared" si="0"/>
        <v>7000</v>
      </c>
      <c r="F18" s="167">
        <v>7000</v>
      </c>
      <c r="G18" s="168"/>
      <c r="H18" s="169" t="s">
        <v>115</v>
      </c>
    </row>
    <row r="19" spans="1:8" ht="42" customHeight="1" thickBot="1">
      <c r="A19" s="4062">
        <v>11</v>
      </c>
      <c r="B19" s="4064" t="s">
        <v>116</v>
      </c>
      <c r="C19" s="172" t="s">
        <v>117</v>
      </c>
      <c r="D19" s="173">
        <v>2360</v>
      </c>
      <c r="E19" s="138">
        <f>SUM(F19:G19)</f>
        <v>700000</v>
      </c>
      <c r="F19" s="174">
        <v>700000</v>
      </c>
      <c r="G19" s="175">
        <v>0</v>
      </c>
      <c r="H19" s="169" t="s">
        <v>118</v>
      </c>
    </row>
    <row r="20" spans="1:8" ht="44.25" customHeight="1" thickBot="1">
      <c r="A20" s="4063"/>
      <c r="B20" s="4065"/>
      <c r="C20" s="172" t="s">
        <v>119</v>
      </c>
      <c r="D20" s="173">
        <v>2720</v>
      </c>
      <c r="E20" s="138">
        <f>SUM(F20:G20)</f>
        <v>4000000</v>
      </c>
      <c r="F20" s="174">
        <v>4000000</v>
      </c>
      <c r="G20" s="175">
        <v>0</v>
      </c>
      <c r="H20" s="158" t="s">
        <v>120</v>
      </c>
    </row>
    <row r="21" spans="1:8" ht="56.25" customHeight="1" thickBot="1">
      <c r="A21" s="170">
        <v>12</v>
      </c>
      <c r="B21" s="171" t="s">
        <v>121</v>
      </c>
      <c r="C21" s="172" t="s">
        <v>122</v>
      </c>
      <c r="D21" s="173">
        <v>2360</v>
      </c>
      <c r="E21" s="138">
        <f t="shared" si="0"/>
        <v>7000</v>
      </c>
      <c r="F21" s="174">
        <v>7000</v>
      </c>
      <c r="G21" s="175">
        <v>0</v>
      </c>
      <c r="H21" s="176" t="s">
        <v>123</v>
      </c>
    </row>
    <row r="22" spans="1:8" ht="26.25" customHeight="1">
      <c r="A22" s="4066">
        <v>13</v>
      </c>
      <c r="B22" s="4068" t="s">
        <v>124</v>
      </c>
      <c r="C22" s="4068" t="s">
        <v>125</v>
      </c>
      <c r="D22" s="177">
        <v>2360</v>
      </c>
      <c r="E22" s="138">
        <f t="shared" si="0"/>
        <v>900000</v>
      </c>
      <c r="F22" s="144">
        <v>900000</v>
      </c>
      <c r="G22" s="178">
        <v>0</v>
      </c>
      <c r="H22" s="4070" t="s">
        <v>126</v>
      </c>
    </row>
    <row r="23" spans="1:8" ht="23.25" customHeight="1" thickBot="1">
      <c r="A23" s="4067"/>
      <c r="B23" s="4069"/>
      <c r="C23" s="4069"/>
      <c r="D23" s="179">
        <v>2820</v>
      </c>
      <c r="E23" s="129">
        <f t="shared" si="0"/>
        <v>3711871</v>
      </c>
      <c r="F23" s="162">
        <v>3711871</v>
      </c>
      <c r="G23" s="180">
        <v>0</v>
      </c>
      <c r="H23" s="4071"/>
    </row>
    <row r="24" spans="1:8" ht="35.25" customHeight="1" thickBot="1">
      <c r="A24" s="3968" t="s">
        <v>76</v>
      </c>
      <c r="B24" s="3969"/>
      <c r="C24" s="3969"/>
      <c r="D24" s="3970"/>
      <c r="E24" s="181">
        <f>SUM(F24:G24)</f>
        <v>111194765</v>
      </c>
      <c r="F24" s="182">
        <f>SUM(F5:F23)</f>
        <v>111194765</v>
      </c>
      <c r="G24" s="183">
        <f>SUM(G5:G23)</f>
        <v>0</v>
      </c>
      <c r="H24" s="184"/>
    </row>
    <row r="25" spans="1:8">
      <c r="B25" s="25"/>
      <c r="C25" s="25"/>
      <c r="D25" s="25"/>
      <c r="E25" s="25"/>
      <c r="F25" s="26"/>
      <c r="G25" s="26"/>
      <c r="H25" s="185"/>
    </row>
    <row r="26" spans="1:8">
      <c r="B26" s="25"/>
      <c r="C26" s="25"/>
      <c r="D26" s="25"/>
      <c r="E26" s="9"/>
      <c r="F26" s="26"/>
      <c r="G26" s="26"/>
      <c r="H26" s="185"/>
    </row>
    <row r="27" spans="1:8">
      <c r="B27" s="25"/>
      <c r="C27" s="25"/>
      <c r="D27" s="25"/>
      <c r="E27" s="186"/>
      <c r="F27" s="187"/>
      <c r="G27" s="187"/>
      <c r="H27" s="185"/>
    </row>
    <row r="28" spans="1:8">
      <c r="B28" s="25"/>
      <c r="C28" s="25"/>
      <c r="D28" s="25"/>
      <c r="E28" s="25"/>
      <c r="F28" s="26"/>
      <c r="G28" s="26"/>
      <c r="H28" s="185"/>
    </row>
    <row r="29" spans="1:8">
      <c r="B29" s="25"/>
      <c r="C29" s="25"/>
      <c r="D29" s="25"/>
      <c r="E29" s="25"/>
      <c r="F29" s="26"/>
      <c r="G29" s="26"/>
      <c r="H29" s="185"/>
    </row>
    <row r="30" spans="1:8">
      <c r="B30" s="25"/>
      <c r="C30" s="25"/>
      <c r="D30" s="25"/>
      <c r="E30" s="25"/>
      <c r="F30" s="26"/>
      <c r="G30" s="26"/>
      <c r="H30" s="185"/>
    </row>
    <row r="31" spans="1:8">
      <c r="B31" s="25"/>
      <c r="C31" s="25"/>
      <c r="D31" s="25"/>
      <c r="E31" s="25"/>
      <c r="F31" s="26"/>
      <c r="G31" s="26"/>
      <c r="H31" s="185"/>
    </row>
    <row r="32" spans="1:8">
      <c r="B32" s="25"/>
      <c r="C32" s="25"/>
      <c r="D32" s="25"/>
      <c r="E32" s="25"/>
      <c r="F32" s="26"/>
      <c r="G32" s="26"/>
      <c r="H32" s="185"/>
    </row>
    <row r="33" spans="2:8">
      <c r="B33" s="25"/>
      <c r="C33" s="25"/>
      <c r="D33" s="25"/>
      <c r="E33" s="25"/>
      <c r="F33" s="26"/>
      <c r="G33" s="26"/>
      <c r="H33" s="185"/>
    </row>
    <row r="34" spans="2:8">
      <c r="B34" s="25"/>
      <c r="C34" s="25"/>
      <c r="D34" s="25"/>
      <c r="E34" s="25"/>
      <c r="F34" s="26"/>
      <c r="G34" s="26"/>
      <c r="H34" s="185"/>
    </row>
    <row r="35" spans="2:8">
      <c r="B35" s="25"/>
      <c r="C35" s="25"/>
      <c r="D35" s="25"/>
      <c r="E35" s="25"/>
      <c r="F35" s="26"/>
      <c r="G35" s="26"/>
      <c r="H35" s="185"/>
    </row>
    <row r="36" spans="2:8">
      <c r="B36" s="25"/>
      <c r="C36" s="25"/>
      <c r="D36" s="25"/>
      <c r="E36" s="25"/>
      <c r="F36" s="26"/>
      <c r="G36" s="26"/>
      <c r="H36" s="185"/>
    </row>
    <row r="37" spans="2:8">
      <c r="B37" s="25"/>
      <c r="C37" s="25"/>
      <c r="D37" s="25"/>
      <c r="E37" s="25"/>
      <c r="F37" s="26"/>
      <c r="G37" s="26"/>
      <c r="H37" s="185"/>
    </row>
    <row r="38" spans="2:8">
      <c r="B38" s="25"/>
      <c r="C38" s="25"/>
      <c r="D38" s="25"/>
      <c r="E38" s="25"/>
      <c r="F38" s="26"/>
      <c r="G38" s="26"/>
      <c r="H38" s="185"/>
    </row>
    <row r="39" spans="2:8">
      <c r="B39" s="25"/>
      <c r="C39" s="188"/>
      <c r="D39" s="188"/>
      <c r="E39" s="188"/>
      <c r="F39" s="189"/>
      <c r="G39" s="189"/>
    </row>
    <row r="40" spans="2:8">
      <c r="B40" s="25"/>
      <c r="C40" s="188"/>
      <c r="D40" s="188"/>
      <c r="E40" s="188"/>
      <c r="F40" s="189"/>
      <c r="G40" s="189"/>
    </row>
    <row r="41" spans="2:8">
      <c r="B41" s="25"/>
      <c r="C41" s="188"/>
      <c r="D41" s="188"/>
      <c r="E41" s="188"/>
      <c r="F41" s="189"/>
      <c r="G41" s="189"/>
    </row>
    <row r="42" spans="2:8">
      <c r="B42" s="25"/>
      <c r="C42" s="188"/>
      <c r="D42" s="188"/>
      <c r="E42" s="188"/>
      <c r="F42" s="189"/>
      <c r="G42" s="189"/>
    </row>
    <row r="43" spans="2:8">
      <c r="B43" s="25"/>
      <c r="C43" s="188"/>
      <c r="D43" s="188"/>
      <c r="E43" s="188"/>
      <c r="F43" s="189"/>
      <c r="G43" s="189"/>
    </row>
    <row r="44" spans="2:8">
      <c r="B44" s="25"/>
      <c r="C44" s="188"/>
      <c r="D44" s="188"/>
      <c r="E44" s="188"/>
      <c r="F44" s="189"/>
      <c r="G44" s="189"/>
    </row>
    <row r="45" spans="2:8">
      <c r="B45" s="25"/>
      <c r="C45" s="188"/>
      <c r="D45" s="188"/>
      <c r="E45" s="188"/>
      <c r="F45" s="189"/>
      <c r="G45" s="189"/>
    </row>
    <row r="46" spans="2:8">
      <c r="B46" s="25"/>
      <c r="C46" s="188"/>
      <c r="D46" s="188"/>
      <c r="E46" s="188"/>
      <c r="F46" s="189"/>
      <c r="G46" s="189"/>
    </row>
    <row r="47" spans="2:8">
      <c r="B47" s="25"/>
      <c r="C47" s="188"/>
      <c r="D47" s="188"/>
      <c r="E47" s="188"/>
      <c r="F47" s="189"/>
      <c r="G47" s="189"/>
    </row>
    <row r="48" spans="2:8">
      <c r="B48" s="25"/>
      <c r="C48" s="188"/>
      <c r="D48" s="188"/>
      <c r="E48" s="188"/>
      <c r="F48" s="189"/>
      <c r="G48" s="189"/>
    </row>
    <row r="49" spans="2:7">
      <c r="B49" s="25"/>
      <c r="C49" s="188"/>
      <c r="D49" s="188"/>
      <c r="E49" s="188"/>
      <c r="F49" s="189"/>
      <c r="G49" s="189"/>
    </row>
    <row r="50" spans="2:7">
      <c r="B50" s="25"/>
      <c r="C50" s="188"/>
      <c r="D50" s="188"/>
      <c r="E50" s="188"/>
      <c r="F50" s="189"/>
      <c r="G50" s="189"/>
    </row>
    <row r="51" spans="2:7">
      <c r="B51" s="25"/>
      <c r="C51" s="188"/>
      <c r="D51" s="188"/>
      <c r="E51" s="188"/>
      <c r="F51" s="189"/>
      <c r="G51" s="189"/>
    </row>
    <row r="52" spans="2:7">
      <c r="B52" s="25"/>
      <c r="C52" s="188"/>
      <c r="D52" s="188"/>
      <c r="E52" s="188"/>
      <c r="F52" s="189"/>
      <c r="G52" s="189"/>
    </row>
    <row r="53" spans="2:7">
      <c r="B53" s="25"/>
      <c r="C53" s="188"/>
      <c r="D53" s="188"/>
      <c r="E53" s="188"/>
      <c r="F53" s="189"/>
      <c r="G53" s="189"/>
    </row>
    <row r="54" spans="2:7">
      <c r="B54" s="25"/>
      <c r="C54" s="188"/>
      <c r="D54" s="188"/>
      <c r="E54" s="188"/>
      <c r="F54" s="189"/>
      <c r="G54" s="189"/>
    </row>
    <row r="55" spans="2:7">
      <c r="B55" s="25"/>
      <c r="C55" s="188"/>
      <c r="D55" s="188"/>
      <c r="E55" s="188"/>
      <c r="F55" s="189"/>
      <c r="G55" s="189"/>
    </row>
    <row r="56" spans="2:7">
      <c r="B56" s="25"/>
      <c r="C56" s="188"/>
      <c r="D56" s="188"/>
      <c r="E56" s="188"/>
      <c r="F56" s="189"/>
      <c r="G56" s="189"/>
    </row>
    <row r="57" spans="2:7">
      <c r="B57" s="25"/>
      <c r="C57" s="188"/>
      <c r="D57" s="188"/>
      <c r="E57" s="188"/>
      <c r="F57" s="189"/>
      <c r="G57" s="189"/>
    </row>
    <row r="58" spans="2:7">
      <c r="B58" s="25"/>
      <c r="C58" s="188"/>
      <c r="D58" s="188"/>
      <c r="E58" s="188"/>
      <c r="F58" s="189"/>
      <c r="G58" s="189"/>
    </row>
    <row r="59" spans="2:7">
      <c r="B59" s="25"/>
      <c r="C59" s="188"/>
      <c r="D59" s="188"/>
      <c r="E59" s="188"/>
      <c r="F59" s="189"/>
      <c r="G59" s="189"/>
    </row>
    <row r="60" spans="2:7">
      <c r="B60" s="25"/>
      <c r="C60" s="188"/>
      <c r="D60" s="188"/>
      <c r="E60" s="188"/>
      <c r="F60" s="189"/>
      <c r="G60" s="189"/>
    </row>
    <row r="61" spans="2:7">
      <c r="B61" s="25"/>
      <c r="C61" s="188"/>
      <c r="D61" s="188"/>
      <c r="E61" s="188"/>
      <c r="F61" s="189"/>
      <c r="G61" s="189"/>
    </row>
    <row r="62" spans="2:7">
      <c r="B62" s="25"/>
      <c r="C62" s="188"/>
      <c r="D62" s="188"/>
      <c r="E62" s="188"/>
      <c r="F62" s="189"/>
      <c r="G62" s="189"/>
    </row>
    <row r="63" spans="2:7">
      <c r="B63" s="25"/>
      <c r="C63" s="188"/>
      <c r="D63" s="188"/>
      <c r="E63" s="188"/>
      <c r="F63" s="189"/>
      <c r="G63" s="189"/>
    </row>
    <row r="64" spans="2:7">
      <c r="B64" s="25"/>
      <c r="C64" s="188"/>
      <c r="D64" s="188"/>
      <c r="E64" s="188"/>
      <c r="F64" s="189"/>
      <c r="G64" s="189"/>
    </row>
    <row r="65" spans="2:7">
      <c r="B65" s="25"/>
      <c r="C65" s="188"/>
      <c r="D65" s="188"/>
      <c r="E65" s="188"/>
      <c r="F65" s="189"/>
      <c r="G65" s="189"/>
    </row>
    <row r="66" spans="2:7">
      <c r="B66" s="25"/>
      <c r="C66" s="188"/>
      <c r="D66" s="188"/>
      <c r="E66" s="188"/>
      <c r="F66" s="189"/>
      <c r="G66" s="189"/>
    </row>
    <row r="67" spans="2:7">
      <c r="B67" s="25"/>
      <c r="C67" s="188"/>
      <c r="D67" s="188"/>
      <c r="E67" s="188"/>
      <c r="F67" s="189"/>
      <c r="G67" s="189"/>
    </row>
    <row r="68" spans="2:7">
      <c r="B68" s="25"/>
      <c r="C68" s="188"/>
      <c r="D68" s="188"/>
      <c r="E68" s="188"/>
      <c r="F68" s="189"/>
      <c r="G68" s="189"/>
    </row>
    <row r="69" spans="2:7">
      <c r="B69" s="25"/>
      <c r="C69" s="188"/>
      <c r="D69" s="188"/>
      <c r="E69" s="188"/>
      <c r="F69" s="189"/>
      <c r="G69" s="189"/>
    </row>
    <row r="70" spans="2:7">
      <c r="B70" s="25"/>
      <c r="C70" s="188"/>
      <c r="D70" s="188"/>
      <c r="E70" s="188"/>
      <c r="F70" s="189"/>
      <c r="G70" s="189"/>
    </row>
    <row r="71" spans="2:7">
      <c r="B71" s="25"/>
      <c r="C71" s="188"/>
      <c r="D71" s="188"/>
      <c r="E71" s="188"/>
      <c r="F71" s="190"/>
      <c r="G71" s="190"/>
    </row>
    <row r="72" spans="2:7">
      <c r="B72" s="25"/>
      <c r="C72" s="188"/>
      <c r="D72" s="188"/>
      <c r="E72" s="188"/>
      <c r="F72" s="190"/>
      <c r="G72" s="190"/>
    </row>
    <row r="73" spans="2:7">
      <c r="B73" s="25"/>
      <c r="C73" s="188"/>
      <c r="D73" s="188"/>
      <c r="E73" s="188"/>
      <c r="F73" s="190"/>
      <c r="G73" s="190"/>
    </row>
    <row r="74" spans="2:7">
      <c r="B74" s="25"/>
      <c r="C74" s="191"/>
      <c r="D74" s="191"/>
      <c r="E74" s="191"/>
      <c r="F74" s="190"/>
      <c r="G74" s="190"/>
    </row>
    <row r="75" spans="2:7">
      <c r="B75" s="25"/>
      <c r="C75" s="191"/>
      <c r="D75" s="191"/>
      <c r="E75" s="191"/>
      <c r="F75" s="190"/>
      <c r="G75" s="190"/>
    </row>
    <row r="76" spans="2:7">
      <c r="B76" s="25"/>
      <c r="C76" s="191"/>
      <c r="D76" s="191"/>
      <c r="E76" s="191"/>
      <c r="F76" s="190"/>
      <c r="G76" s="190"/>
    </row>
    <row r="77" spans="2:7">
      <c r="B77" s="25"/>
      <c r="C77" s="191"/>
      <c r="D77" s="191"/>
      <c r="E77" s="191"/>
      <c r="F77" s="190"/>
      <c r="G77" s="190"/>
    </row>
    <row r="78" spans="2:7">
      <c r="B78" s="25"/>
      <c r="C78" s="191"/>
      <c r="D78" s="191"/>
      <c r="E78" s="191"/>
      <c r="F78" s="190"/>
      <c r="G78" s="190"/>
    </row>
    <row r="79" spans="2:7">
      <c r="B79" s="25"/>
      <c r="C79" s="191"/>
      <c r="D79" s="191"/>
      <c r="E79" s="191"/>
      <c r="F79" s="190"/>
      <c r="G79" s="190"/>
    </row>
    <row r="80" spans="2:7">
      <c r="B80" s="25"/>
      <c r="C80" s="191"/>
      <c r="D80" s="191"/>
      <c r="E80" s="191"/>
      <c r="F80" s="190"/>
      <c r="G80" s="190"/>
    </row>
    <row r="81" spans="2:7">
      <c r="B81" s="25"/>
      <c r="C81" s="191"/>
      <c r="D81" s="191"/>
      <c r="E81" s="191"/>
      <c r="F81" s="190"/>
      <c r="G81" s="190"/>
    </row>
    <row r="82" spans="2:7">
      <c r="B82" s="25"/>
      <c r="C82" s="191"/>
      <c r="D82" s="191"/>
      <c r="E82" s="191"/>
      <c r="F82" s="190"/>
      <c r="G82" s="190"/>
    </row>
    <row r="83" spans="2:7">
      <c r="B83" s="25"/>
      <c r="C83" s="191"/>
      <c r="D83" s="191"/>
      <c r="E83" s="191"/>
      <c r="F83" s="190"/>
      <c r="G83" s="190"/>
    </row>
    <row r="84" spans="2:7">
      <c r="B84" s="25"/>
      <c r="C84" s="191"/>
      <c r="D84" s="191"/>
      <c r="E84" s="191"/>
      <c r="F84" s="190"/>
      <c r="G84" s="190"/>
    </row>
    <row r="85" spans="2:7">
      <c r="B85" s="25"/>
      <c r="C85" s="191"/>
      <c r="D85" s="191"/>
      <c r="E85" s="191"/>
      <c r="F85" s="190"/>
      <c r="G85" s="190"/>
    </row>
    <row r="86" spans="2:7">
      <c r="B86" s="25"/>
      <c r="C86" s="191"/>
      <c r="D86" s="191"/>
      <c r="E86" s="191"/>
      <c r="F86" s="190"/>
      <c r="G86" s="190"/>
    </row>
    <row r="87" spans="2:7">
      <c r="B87" s="25"/>
      <c r="C87" s="191"/>
      <c r="D87" s="191"/>
      <c r="E87" s="191"/>
      <c r="F87" s="190"/>
      <c r="G87" s="190"/>
    </row>
    <row r="88" spans="2:7">
      <c r="B88" s="25"/>
      <c r="C88" s="191"/>
      <c r="D88" s="191"/>
      <c r="E88" s="191"/>
      <c r="F88" s="190"/>
      <c r="G88" s="190"/>
    </row>
    <row r="89" spans="2:7">
      <c r="B89" s="25"/>
      <c r="C89" s="191"/>
      <c r="D89" s="191"/>
      <c r="E89" s="191"/>
      <c r="F89" s="190"/>
      <c r="G89" s="190"/>
    </row>
    <row r="90" spans="2:7">
      <c r="B90" s="25"/>
      <c r="C90" s="191"/>
      <c r="D90" s="191"/>
      <c r="E90" s="191"/>
      <c r="F90" s="190"/>
      <c r="G90" s="190"/>
    </row>
    <row r="91" spans="2:7">
      <c r="B91" s="25"/>
      <c r="C91" s="191"/>
      <c r="D91" s="191"/>
      <c r="E91" s="191"/>
      <c r="F91" s="190"/>
      <c r="G91" s="190"/>
    </row>
    <row r="92" spans="2:7">
      <c r="B92" s="25"/>
      <c r="C92" s="191"/>
      <c r="D92" s="191"/>
      <c r="E92" s="191"/>
      <c r="F92" s="190"/>
      <c r="G92" s="190"/>
    </row>
    <row r="93" spans="2:7">
      <c r="B93" s="25"/>
      <c r="C93" s="191"/>
      <c r="D93" s="191"/>
      <c r="E93" s="191"/>
      <c r="F93" s="190"/>
      <c r="G93" s="190"/>
    </row>
    <row r="94" spans="2:7">
      <c r="B94" s="25"/>
      <c r="C94" s="191"/>
      <c r="D94" s="191"/>
      <c r="E94" s="191"/>
      <c r="F94" s="190"/>
      <c r="G94" s="190"/>
    </row>
    <row r="95" spans="2:7">
      <c r="B95" s="25"/>
      <c r="C95" s="191"/>
      <c r="D95" s="191"/>
      <c r="E95" s="191"/>
      <c r="F95" s="190"/>
      <c r="G95" s="190"/>
    </row>
    <row r="96" spans="2:7">
      <c r="B96" s="25"/>
      <c r="C96" s="191"/>
      <c r="D96" s="191"/>
      <c r="E96" s="191"/>
      <c r="F96" s="190"/>
      <c r="G96" s="190"/>
    </row>
    <row r="97" spans="2:7">
      <c r="B97" s="25"/>
      <c r="C97" s="191"/>
      <c r="D97" s="191"/>
      <c r="E97" s="191"/>
      <c r="F97" s="190"/>
      <c r="G97" s="190"/>
    </row>
    <row r="98" spans="2:7">
      <c r="B98" s="192"/>
      <c r="C98" s="193"/>
      <c r="D98" s="193"/>
      <c r="E98" s="193"/>
    </row>
    <row r="99" spans="2:7">
      <c r="B99" s="192"/>
      <c r="C99" s="193"/>
      <c r="D99" s="193"/>
      <c r="E99" s="193"/>
    </row>
    <row r="100" spans="2:7">
      <c r="B100" s="192"/>
      <c r="C100" s="193"/>
      <c r="D100" s="193"/>
      <c r="E100" s="193"/>
    </row>
    <row r="101" spans="2:7">
      <c r="B101" s="192"/>
      <c r="C101" s="193"/>
      <c r="D101" s="193"/>
      <c r="E101" s="193"/>
    </row>
    <row r="102" spans="2:7">
      <c r="B102" s="192"/>
      <c r="C102" s="193"/>
      <c r="D102" s="193"/>
      <c r="E102" s="193"/>
    </row>
    <row r="103" spans="2:7">
      <c r="B103" s="192"/>
      <c r="C103" s="193"/>
      <c r="D103" s="193"/>
      <c r="E103" s="193"/>
    </row>
    <row r="104" spans="2:7">
      <c r="B104" s="192"/>
      <c r="C104" s="193"/>
      <c r="D104" s="193"/>
      <c r="E104" s="193"/>
    </row>
    <row r="105" spans="2:7">
      <c r="B105" s="192"/>
      <c r="C105" s="193"/>
      <c r="D105" s="193"/>
      <c r="E105" s="193"/>
    </row>
    <row r="106" spans="2:7">
      <c r="B106" s="192"/>
      <c r="C106" s="193"/>
      <c r="D106" s="193"/>
      <c r="E106" s="193"/>
    </row>
    <row r="107" spans="2:7">
      <c r="B107" s="192"/>
      <c r="C107" s="193"/>
      <c r="D107" s="193"/>
      <c r="E107" s="193"/>
    </row>
    <row r="108" spans="2:7">
      <c r="B108" s="192"/>
      <c r="C108" s="193"/>
      <c r="D108" s="193"/>
      <c r="E108" s="193"/>
    </row>
    <row r="109" spans="2:7">
      <c r="B109" s="192"/>
      <c r="C109" s="193"/>
      <c r="D109" s="193"/>
      <c r="E109" s="193"/>
    </row>
    <row r="110" spans="2:7">
      <c r="B110" s="192"/>
      <c r="C110" s="193"/>
      <c r="D110" s="193"/>
      <c r="E110" s="193"/>
    </row>
    <row r="111" spans="2:7">
      <c r="B111" s="192"/>
      <c r="C111" s="193"/>
      <c r="D111" s="193"/>
      <c r="E111" s="193"/>
    </row>
    <row r="112" spans="2:7">
      <c r="B112" s="192"/>
      <c r="C112" s="193"/>
      <c r="D112" s="193"/>
      <c r="E112" s="193"/>
    </row>
    <row r="113" spans="2:5">
      <c r="B113" s="192"/>
      <c r="C113" s="193"/>
      <c r="D113" s="193"/>
      <c r="E113" s="193"/>
    </row>
    <row r="114" spans="2:5">
      <c r="B114" s="193"/>
      <c r="C114" s="193"/>
      <c r="D114" s="193"/>
      <c r="E114" s="193"/>
    </row>
    <row r="115" spans="2:5">
      <c r="B115" s="193"/>
      <c r="C115" s="193"/>
      <c r="D115" s="193"/>
      <c r="E115" s="193"/>
    </row>
    <row r="116" spans="2:5">
      <c r="B116" s="193"/>
      <c r="C116" s="193"/>
      <c r="D116" s="193"/>
      <c r="E116" s="193"/>
    </row>
    <row r="117" spans="2:5">
      <c r="B117" s="193"/>
      <c r="C117" s="193"/>
      <c r="D117" s="193"/>
      <c r="E117" s="193"/>
    </row>
    <row r="118" spans="2:5">
      <c r="B118" s="193"/>
      <c r="C118" s="193"/>
      <c r="D118" s="193"/>
      <c r="E118" s="193"/>
    </row>
    <row r="119" spans="2:5">
      <c r="B119" s="193"/>
      <c r="C119" s="193"/>
      <c r="D119" s="193"/>
      <c r="E119" s="193"/>
    </row>
    <row r="120" spans="2:5">
      <c r="B120" s="193"/>
      <c r="C120" s="193"/>
      <c r="D120" s="193"/>
      <c r="E120" s="193"/>
    </row>
    <row r="121" spans="2:5">
      <c r="B121" s="193"/>
      <c r="C121" s="193"/>
      <c r="D121" s="193"/>
      <c r="E121" s="193"/>
    </row>
    <row r="122" spans="2:5">
      <c r="B122" s="193"/>
      <c r="C122" s="193"/>
      <c r="D122" s="193"/>
      <c r="E122" s="193"/>
    </row>
    <row r="123" spans="2:5">
      <c r="B123" s="193"/>
      <c r="C123" s="193"/>
      <c r="D123" s="193"/>
      <c r="E123" s="193"/>
    </row>
    <row r="124" spans="2:5">
      <c r="B124" s="193"/>
      <c r="C124" s="193"/>
      <c r="D124" s="193"/>
      <c r="E124" s="193"/>
    </row>
    <row r="125" spans="2:5">
      <c r="B125" s="193"/>
      <c r="C125" s="193"/>
      <c r="D125" s="193"/>
      <c r="E125" s="193"/>
    </row>
    <row r="126" spans="2:5">
      <c r="B126" s="193"/>
      <c r="C126" s="193"/>
      <c r="D126" s="193"/>
      <c r="E126" s="193"/>
    </row>
    <row r="127" spans="2:5">
      <c r="B127" s="193"/>
      <c r="C127" s="193"/>
      <c r="D127" s="193"/>
      <c r="E127" s="193"/>
    </row>
    <row r="128" spans="2:5">
      <c r="B128" s="193"/>
      <c r="C128" s="193"/>
      <c r="D128" s="193"/>
      <c r="E128" s="193"/>
    </row>
    <row r="129" spans="2:5">
      <c r="B129" s="193"/>
      <c r="C129" s="193"/>
      <c r="D129" s="193"/>
      <c r="E129" s="193"/>
    </row>
    <row r="130" spans="2:5">
      <c r="B130" s="193"/>
      <c r="C130" s="193"/>
      <c r="D130" s="193"/>
      <c r="E130" s="193"/>
    </row>
    <row r="131" spans="2:5">
      <c r="B131" s="193"/>
      <c r="C131" s="193"/>
      <c r="D131" s="193"/>
      <c r="E131" s="193"/>
    </row>
    <row r="132" spans="2:5">
      <c r="B132" s="193"/>
      <c r="C132" s="193"/>
      <c r="D132" s="193"/>
      <c r="E132" s="193"/>
    </row>
    <row r="133" spans="2:5">
      <c r="B133" s="193"/>
      <c r="C133" s="193"/>
      <c r="D133" s="193"/>
      <c r="E133" s="193"/>
    </row>
    <row r="134" spans="2:5">
      <c r="B134" s="193"/>
      <c r="C134" s="193"/>
      <c r="D134" s="193"/>
      <c r="E134" s="193"/>
    </row>
    <row r="135" spans="2:5">
      <c r="B135" s="193"/>
      <c r="C135" s="193"/>
      <c r="D135" s="193"/>
      <c r="E135" s="193"/>
    </row>
    <row r="136" spans="2:5">
      <c r="B136" s="193"/>
      <c r="C136" s="193"/>
      <c r="D136" s="193"/>
      <c r="E136" s="193"/>
    </row>
    <row r="137" spans="2:5">
      <c r="B137" s="193"/>
      <c r="C137" s="193"/>
      <c r="D137" s="193"/>
      <c r="E137" s="193"/>
    </row>
    <row r="138" spans="2:5">
      <c r="B138" s="193"/>
      <c r="C138" s="193"/>
      <c r="D138" s="193"/>
      <c r="E138" s="193"/>
    </row>
    <row r="139" spans="2:5">
      <c r="B139" s="193"/>
      <c r="C139" s="193"/>
      <c r="D139" s="193"/>
      <c r="E139" s="193"/>
    </row>
    <row r="140" spans="2:5">
      <c r="B140" s="193"/>
      <c r="C140" s="193"/>
      <c r="D140" s="193"/>
      <c r="E140" s="193"/>
    </row>
    <row r="141" spans="2:5">
      <c r="B141" s="193"/>
      <c r="C141" s="193"/>
      <c r="D141" s="193"/>
      <c r="E141" s="193"/>
    </row>
    <row r="142" spans="2:5">
      <c r="B142" s="193"/>
      <c r="C142" s="193"/>
      <c r="D142" s="193"/>
      <c r="E142" s="193"/>
    </row>
    <row r="143" spans="2:5">
      <c r="B143" s="193"/>
      <c r="C143" s="193"/>
      <c r="D143" s="193"/>
      <c r="E143" s="193"/>
    </row>
    <row r="144" spans="2:5">
      <c r="B144" s="193"/>
      <c r="C144" s="193"/>
      <c r="D144" s="193"/>
      <c r="E144" s="193"/>
    </row>
    <row r="145" spans="2:5">
      <c r="B145" s="193"/>
      <c r="C145" s="193"/>
      <c r="D145" s="193"/>
      <c r="E145" s="193"/>
    </row>
    <row r="146" spans="2:5">
      <c r="B146" s="193"/>
      <c r="C146" s="193"/>
      <c r="D146" s="193"/>
      <c r="E146" s="193"/>
    </row>
    <row r="147" spans="2:5">
      <c r="B147" s="193"/>
      <c r="C147" s="193"/>
      <c r="D147" s="193"/>
      <c r="E147" s="193"/>
    </row>
    <row r="148" spans="2:5">
      <c r="B148" s="193"/>
      <c r="C148" s="193"/>
      <c r="D148" s="193"/>
      <c r="E148" s="193"/>
    </row>
    <row r="149" spans="2:5">
      <c r="B149" s="193"/>
      <c r="C149" s="193"/>
      <c r="D149" s="193"/>
      <c r="E149" s="193"/>
    </row>
    <row r="150" spans="2:5">
      <c r="B150" s="193"/>
      <c r="C150" s="193"/>
      <c r="D150" s="193"/>
      <c r="E150" s="193"/>
    </row>
    <row r="534" spans="17:17">
      <c r="Q534" s="118">
        <f>P534-O534</f>
        <v>0</v>
      </c>
    </row>
  </sheetData>
  <mergeCells count="22">
    <mergeCell ref="B1:F1"/>
    <mergeCell ref="A2:H2"/>
    <mergeCell ref="A3:A4"/>
    <mergeCell ref="B3:B4"/>
    <mergeCell ref="C3:C4"/>
    <mergeCell ref="D3:D4"/>
    <mergeCell ref="E3:E4"/>
    <mergeCell ref="F3:G3"/>
    <mergeCell ref="H3:H4"/>
    <mergeCell ref="H22:H23"/>
    <mergeCell ref="A10:A12"/>
    <mergeCell ref="B10:B12"/>
    <mergeCell ref="A13:A14"/>
    <mergeCell ref="B13:B14"/>
    <mergeCell ref="A16:A17"/>
    <mergeCell ref="B16:B17"/>
    <mergeCell ref="A24:D24"/>
    <mergeCell ref="A19:A20"/>
    <mergeCell ref="B19:B20"/>
    <mergeCell ref="A22:A23"/>
    <mergeCell ref="B22:B23"/>
    <mergeCell ref="C22:C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1" manualBreakCount="1">
    <brk id="1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Q534"/>
  <sheetViews>
    <sheetView view="pageBreakPreview" zoomScaleNormal="100" zoomScaleSheetLayoutView="100" workbookViewId="0">
      <selection activeCell="F1" sqref="F1:H1"/>
    </sheetView>
  </sheetViews>
  <sheetFormatPr defaultRowHeight="12.75"/>
  <cols>
    <col min="1" max="1" width="10.7109375" style="118" customWidth="1"/>
    <col min="2" max="2" width="10.5703125" style="118" customWidth="1"/>
    <col min="3" max="3" width="17.140625" style="118" customWidth="1"/>
    <col min="4" max="4" width="12.140625" style="118" customWidth="1"/>
    <col min="5" max="5" width="15.85546875" style="118" customWidth="1"/>
    <col min="6" max="7" width="19" style="118" customWidth="1"/>
    <col min="8" max="8" width="52.5703125" style="118" customWidth="1"/>
    <col min="9" max="258" width="9.140625" style="118"/>
    <col min="259" max="259" width="10.7109375" style="118" customWidth="1"/>
    <col min="260" max="260" width="10.5703125" style="118" customWidth="1"/>
    <col min="261" max="261" width="10.28515625" style="118" customWidth="1"/>
    <col min="262" max="262" width="13.28515625" style="118" customWidth="1"/>
    <col min="263" max="263" width="13.42578125" style="118" customWidth="1"/>
    <col min="264" max="264" width="54.42578125" style="118" customWidth="1"/>
    <col min="265" max="514" width="9.140625" style="118"/>
    <col min="515" max="515" width="10.7109375" style="118" customWidth="1"/>
    <col min="516" max="516" width="10.5703125" style="118" customWidth="1"/>
    <col min="517" max="517" width="10.28515625" style="118" customWidth="1"/>
    <col min="518" max="518" width="13.28515625" style="118" customWidth="1"/>
    <col min="519" max="519" width="13.42578125" style="118" customWidth="1"/>
    <col min="520" max="520" width="54.42578125" style="118" customWidth="1"/>
    <col min="521" max="770" width="9.140625" style="118"/>
    <col min="771" max="771" width="10.7109375" style="118" customWidth="1"/>
    <col min="772" max="772" width="10.5703125" style="118" customWidth="1"/>
    <col min="773" max="773" width="10.28515625" style="118" customWidth="1"/>
    <col min="774" max="774" width="13.28515625" style="118" customWidth="1"/>
    <col min="775" max="775" width="13.42578125" style="118" customWidth="1"/>
    <col min="776" max="776" width="54.42578125" style="118" customWidth="1"/>
    <col min="777" max="1026" width="9.140625" style="118"/>
    <col min="1027" max="1027" width="10.7109375" style="118" customWidth="1"/>
    <col min="1028" max="1028" width="10.5703125" style="118" customWidth="1"/>
    <col min="1029" max="1029" width="10.28515625" style="118" customWidth="1"/>
    <col min="1030" max="1030" width="13.28515625" style="118" customWidth="1"/>
    <col min="1031" max="1031" width="13.42578125" style="118" customWidth="1"/>
    <col min="1032" max="1032" width="54.42578125" style="118" customWidth="1"/>
    <col min="1033" max="1282" width="9.140625" style="118"/>
    <col min="1283" max="1283" width="10.7109375" style="118" customWidth="1"/>
    <col min="1284" max="1284" width="10.5703125" style="118" customWidth="1"/>
    <col min="1285" max="1285" width="10.28515625" style="118" customWidth="1"/>
    <col min="1286" max="1286" width="13.28515625" style="118" customWidth="1"/>
    <col min="1287" max="1287" width="13.42578125" style="118" customWidth="1"/>
    <col min="1288" max="1288" width="54.42578125" style="118" customWidth="1"/>
    <col min="1289" max="1538" width="9.140625" style="118"/>
    <col min="1539" max="1539" width="10.7109375" style="118" customWidth="1"/>
    <col min="1540" max="1540" width="10.5703125" style="118" customWidth="1"/>
    <col min="1541" max="1541" width="10.28515625" style="118" customWidth="1"/>
    <col min="1542" max="1542" width="13.28515625" style="118" customWidth="1"/>
    <col min="1543" max="1543" width="13.42578125" style="118" customWidth="1"/>
    <col min="1544" max="1544" width="54.42578125" style="118" customWidth="1"/>
    <col min="1545" max="1794" width="9.140625" style="118"/>
    <col min="1795" max="1795" width="10.7109375" style="118" customWidth="1"/>
    <col min="1796" max="1796" width="10.5703125" style="118" customWidth="1"/>
    <col min="1797" max="1797" width="10.28515625" style="118" customWidth="1"/>
    <col min="1798" max="1798" width="13.28515625" style="118" customWidth="1"/>
    <col min="1799" max="1799" width="13.42578125" style="118" customWidth="1"/>
    <col min="1800" max="1800" width="54.42578125" style="118" customWidth="1"/>
    <col min="1801" max="2050" width="9.140625" style="118"/>
    <col min="2051" max="2051" width="10.7109375" style="118" customWidth="1"/>
    <col min="2052" max="2052" width="10.5703125" style="118" customWidth="1"/>
    <col min="2053" max="2053" width="10.28515625" style="118" customWidth="1"/>
    <col min="2054" max="2054" width="13.28515625" style="118" customWidth="1"/>
    <col min="2055" max="2055" width="13.42578125" style="118" customWidth="1"/>
    <col min="2056" max="2056" width="54.42578125" style="118" customWidth="1"/>
    <col min="2057" max="2306" width="9.140625" style="118"/>
    <col min="2307" max="2307" width="10.7109375" style="118" customWidth="1"/>
    <col min="2308" max="2308" width="10.5703125" style="118" customWidth="1"/>
    <col min="2309" max="2309" width="10.28515625" style="118" customWidth="1"/>
    <col min="2310" max="2310" width="13.28515625" style="118" customWidth="1"/>
    <col min="2311" max="2311" width="13.42578125" style="118" customWidth="1"/>
    <col min="2312" max="2312" width="54.42578125" style="118" customWidth="1"/>
    <col min="2313" max="2562" width="9.140625" style="118"/>
    <col min="2563" max="2563" width="10.7109375" style="118" customWidth="1"/>
    <col min="2564" max="2564" width="10.5703125" style="118" customWidth="1"/>
    <col min="2565" max="2565" width="10.28515625" style="118" customWidth="1"/>
    <col min="2566" max="2566" width="13.28515625" style="118" customWidth="1"/>
    <col min="2567" max="2567" width="13.42578125" style="118" customWidth="1"/>
    <col min="2568" max="2568" width="54.42578125" style="118" customWidth="1"/>
    <col min="2569" max="2818" width="9.140625" style="118"/>
    <col min="2819" max="2819" width="10.7109375" style="118" customWidth="1"/>
    <col min="2820" max="2820" width="10.5703125" style="118" customWidth="1"/>
    <col min="2821" max="2821" width="10.28515625" style="118" customWidth="1"/>
    <col min="2822" max="2822" width="13.28515625" style="118" customWidth="1"/>
    <col min="2823" max="2823" width="13.42578125" style="118" customWidth="1"/>
    <col min="2824" max="2824" width="54.42578125" style="118" customWidth="1"/>
    <col min="2825" max="3074" width="9.140625" style="118"/>
    <col min="3075" max="3075" width="10.7109375" style="118" customWidth="1"/>
    <col min="3076" max="3076" width="10.5703125" style="118" customWidth="1"/>
    <col min="3077" max="3077" width="10.28515625" style="118" customWidth="1"/>
    <col min="3078" max="3078" width="13.28515625" style="118" customWidth="1"/>
    <col min="3079" max="3079" width="13.42578125" style="118" customWidth="1"/>
    <col min="3080" max="3080" width="54.42578125" style="118" customWidth="1"/>
    <col min="3081" max="3330" width="9.140625" style="118"/>
    <col min="3331" max="3331" width="10.7109375" style="118" customWidth="1"/>
    <col min="3332" max="3332" width="10.5703125" style="118" customWidth="1"/>
    <col min="3333" max="3333" width="10.28515625" style="118" customWidth="1"/>
    <col min="3334" max="3334" width="13.28515625" style="118" customWidth="1"/>
    <col min="3335" max="3335" width="13.42578125" style="118" customWidth="1"/>
    <col min="3336" max="3336" width="54.42578125" style="118" customWidth="1"/>
    <col min="3337" max="3586" width="9.140625" style="118"/>
    <col min="3587" max="3587" width="10.7109375" style="118" customWidth="1"/>
    <col min="3588" max="3588" width="10.5703125" style="118" customWidth="1"/>
    <col min="3589" max="3589" width="10.28515625" style="118" customWidth="1"/>
    <col min="3590" max="3590" width="13.28515625" style="118" customWidth="1"/>
    <col min="3591" max="3591" width="13.42578125" style="118" customWidth="1"/>
    <col min="3592" max="3592" width="54.42578125" style="118" customWidth="1"/>
    <col min="3593" max="3842" width="9.140625" style="118"/>
    <col min="3843" max="3843" width="10.7109375" style="118" customWidth="1"/>
    <col min="3844" max="3844" width="10.5703125" style="118" customWidth="1"/>
    <col min="3845" max="3845" width="10.28515625" style="118" customWidth="1"/>
    <col min="3846" max="3846" width="13.28515625" style="118" customWidth="1"/>
    <col min="3847" max="3847" width="13.42578125" style="118" customWidth="1"/>
    <col min="3848" max="3848" width="54.42578125" style="118" customWidth="1"/>
    <col min="3849" max="4098" width="9.140625" style="118"/>
    <col min="4099" max="4099" width="10.7109375" style="118" customWidth="1"/>
    <col min="4100" max="4100" width="10.5703125" style="118" customWidth="1"/>
    <col min="4101" max="4101" width="10.28515625" style="118" customWidth="1"/>
    <col min="4102" max="4102" width="13.28515625" style="118" customWidth="1"/>
    <col min="4103" max="4103" width="13.42578125" style="118" customWidth="1"/>
    <col min="4104" max="4104" width="54.42578125" style="118" customWidth="1"/>
    <col min="4105" max="4354" width="9.140625" style="118"/>
    <col min="4355" max="4355" width="10.7109375" style="118" customWidth="1"/>
    <col min="4356" max="4356" width="10.5703125" style="118" customWidth="1"/>
    <col min="4357" max="4357" width="10.28515625" style="118" customWidth="1"/>
    <col min="4358" max="4358" width="13.28515625" style="118" customWidth="1"/>
    <col min="4359" max="4359" width="13.42578125" style="118" customWidth="1"/>
    <col min="4360" max="4360" width="54.42578125" style="118" customWidth="1"/>
    <col min="4361" max="4610" width="9.140625" style="118"/>
    <col min="4611" max="4611" width="10.7109375" style="118" customWidth="1"/>
    <col min="4612" max="4612" width="10.5703125" style="118" customWidth="1"/>
    <col min="4613" max="4613" width="10.28515625" style="118" customWidth="1"/>
    <col min="4614" max="4614" width="13.28515625" style="118" customWidth="1"/>
    <col min="4615" max="4615" width="13.42578125" style="118" customWidth="1"/>
    <col min="4616" max="4616" width="54.42578125" style="118" customWidth="1"/>
    <col min="4617" max="4866" width="9.140625" style="118"/>
    <col min="4867" max="4867" width="10.7109375" style="118" customWidth="1"/>
    <col min="4868" max="4868" width="10.5703125" style="118" customWidth="1"/>
    <col min="4869" max="4869" width="10.28515625" style="118" customWidth="1"/>
    <col min="4870" max="4870" width="13.28515625" style="118" customWidth="1"/>
    <col min="4871" max="4871" width="13.42578125" style="118" customWidth="1"/>
    <col min="4872" max="4872" width="54.42578125" style="118" customWidth="1"/>
    <col min="4873" max="5122" width="9.140625" style="118"/>
    <col min="5123" max="5123" width="10.7109375" style="118" customWidth="1"/>
    <col min="5124" max="5124" width="10.5703125" style="118" customWidth="1"/>
    <col min="5125" max="5125" width="10.28515625" style="118" customWidth="1"/>
    <col min="5126" max="5126" width="13.28515625" style="118" customWidth="1"/>
    <col min="5127" max="5127" width="13.42578125" style="118" customWidth="1"/>
    <col min="5128" max="5128" width="54.42578125" style="118" customWidth="1"/>
    <col min="5129" max="5378" width="9.140625" style="118"/>
    <col min="5379" max="5379" width="10.7109375" style="118" customWidth="1"/>
    <col min="5380" max="5380" width="10.5703125" style="118" customWidth="1"/>
    <col min="5381" max="5381" width="10.28515625" style="118" customWidth="1"/>
    <col min="5382" max="5382" width="13.28515625" style="118" customWidth="1"/>
    <col min="5383" max="5383" width="13.42578125" style="118" customWidth="1"/>
    <col min="5384" max="5384" width="54.42578125" style="118" customWidth="1"/>
    <col min="5385" max="5634" width="9.140625" style="118"/>
    <col min="5635" max="5635" width="10.7109375" style="118" customWidth="1"/>
    <col min="5636" max="5636" width="10.5703125" style="118" customWidth="1"/>
    <col min="5637" max="5637" width="10.28515625" style="118" customWidth="1"/>
    <col min="5638" max="5638" width="13.28515625" style="118" customWidth="1"/>
    <col min="5639" max="5639" width="13.42578125" style="118" customWidth="1"/>
    <col min="5640" max="5640" width="54.42578125" style="118" customWidth="1"/>
    <col min="5641" max="5890" width="9.140625" style="118"/>
    <col min="5891" max="5891" width="10.7109375" style="118" customWidth="1"/>
    <col min="5892" max="5892" width="10.5703125" style="118" customWidth="1"/>
    <col min="5893" max="5893" width="10.28515625" style="118" customWidth="1"/>
    <col min="5894" max="5894" width="13.28515625" style="118" customWidth="1"/>
    <col min="5895" max="5895" width="13.42578125" style="118" customWidth="1"/>
    <col min="5896" max="5896" width="54.42578125" style="118" customWidth="1"/>
    <col min="5897" max="6146" width="9.140625" style="118"/>
    <col min="6147" max="6147" width="10.7109375" style="118" customWidth="1"/>
    <col min="6148" max="6148" width="10.5703125" style="118" customWidth="1"/>
    <col min="6149" max="6149" width="10.28515625" style="118" customWidth="1"/>
    <col min="6150" max="6150" width="13.28515625" style="118" customWidth="1"/>
    <col min="6151" max="6151" width="13.42578125" style="118" customWidth="1"/>
    <col min="6152" max="6152" width="54.42578125" style="118" customWidth="1"/>
    <col min="6153" max="6402" width="9.140625" style="118"/>
    <col min="6403" max="6403" width="10.7109375" style="118" customWidth="1"/>
    <col min="6404" max="6404" width="10.5703125" style="118" customWidth="1"/>
    <col min="6405" max="6405" width="10.28515625" style="118" customWidth="1"/>
    <col min="6406" max="6406" width="13.28515625" style="118" customWidth="1"/>
    <col min="6407" max="6407" width="13.42578125" style="118" customWidth="1"/>
    <col min="6408" max="6408" width="54.42578125" style="118" customWidth="1"/>
    <col min="6409" max="6658" width="9.140625" style="118"/>
    <col min="6659" max="6659" width="10.7109375" style="118" customWidth="1"/>
    <col min="6660" max="6660" width="10.5703125" style="118" customWidth="1"/>
    <col min="6661" max="6661" width="10.28515625" style="118" customWidth="1"/>
    <col min="6662" max="6662" width="13.28515625" style="118" customWidth="1"/>
    <col min="6663" max="6663" width="13.42578125" style="118" customWidth="1"/>
    <col min="6664" max="6664" width="54.42578125" style="118" customWidth="1"/>
    <col min="6665" max="6914" width="9.140625" style="118"/>
    <col min="6915" max="6915" width="10.7109375" style="118" customWidth="1"/>
    <col min="6916" max="6916" width="10.5703125" style="118" customWidth="1"/>
    <col min="6917" max="6917" width="10.28515625" style="118" customWidth="1"/>
    <col min="6918" max="6918" width="13.28515625" style="118" customWidth="1"/>
    <col min="6919" max="6919" width="13.42578125" style="118" customWidth="1"/>
    <col min="6920" max="6920" width="54.42578125" style="118" customWidth="1"/>
    <col min="6921" max="7170" width="9.140625" style="118"/>
    <col min="7171" max="7171" width="10.7109375" style="118" customWidth="1"/>
    <col min="7172" max="7172" width="10.5703125" style="118" customWidth="1"/>
    <col min="7173" max="7173" width="10.28515625" style="118" customWidth="1"/>
    <col min="7174" max="7174" width="13.28515625" style="118" customWidth="1"/>
    <col min="7175" max="7175" width="13.42578125" style="118" customWidth="1"/>
    <col min="7176" max="7176" width="54.42578125" style="118" customWidth="1"/>
    <col min="7177" max="7426" width="9.140625" style="118"/>
    <col min="7427" max="7427" width="10.7109375" style="118" customWidth="1"/>
    <col min="7428" max="7428" width="10.5703125" style="118" customWidth="1"/>
    <col min="7429" max="7429" width="10.28515625" style="118" customWidth="1"/>
    <col min="7430" max="7430" width="13.28515625" style="118" customWidth="1"/>
    <col min="7431" max="7431" width="13.42578125" style="118" customWidth="1"/>
    <col min="7432" max="7432" width="54.42578125" style="118" customWidth="1"/>
    <col min="7433" max="7682" width="9.140625" style="118"/>
    <col min="7683" max="7683" width="10.7109375" style="118" customWidth="1"/>
    <col min="7684" max="7684" width="10.5703125" style="118" customWidth="1"/>
    <col min="7685" max="7685" width="10.28515625" style="118" customWidth="1"/>
    <col min="7686" max="7686" width="13.28515625" style="118" customWidth="1"/>
    <col min="7687" max="7687" width="13.42578125" style="118" customWidth="1"/>
    <col min="7688" max="7688" width="54.42578125" style="118" customWidth="1"/>
    <col min="7689" max="7938" width="9.140625" style="118"/>
    <col min="7939" max="7939" width="10.7109375" style="118" customWidth="1"/>
    <col min="7940" max="7940" width="10.5703125" style="118" customWidth="1"/>
    <col min="7941" max="7941" width="10.28515625" style="118" customWidth="1"/>
    <col min="7942" max="7942" width="13.28515625" style="118" customWidth="1"/>
    <col min="7943" max="7943" width="13.42578125" style="118" customWidth="1"/>
    <col min="7944" max="7944" width="54.42578125" style="118" customWidth="1"/>
    <col min="7945" max="8194" width="9.140625" style="118"/>
    <col min="8195" max="8195" width="10.7109375" style="118" customWidth="1"/>
    <col min="8196" max="8196" width="10.5703125" style="118" customWidth="1"/>
    <col min="8197" max="8197" width="10.28515625" style="118" customWidth="1"/>
    <col min="8198" max="8198" width="13.28515625" style="118" customWidth="1"/>
    <col min="8199" max="8199" width="13.42578125" style="118" customWidth="1"/>
    <col min="8200" max="8200" width="54.42578125" style="118" customWidth="1"/>
    <col min="8201" max="8450" width="9.140625" style="118"/>
    <col min="8451" max="8451" width="10.7109375" style="118" customWidth="1"/>
    <col min="8452" max="8452" width="10.5703125" style="118" customWidth="1"/>
    <col min="8453" max="8453" width="10.28515625" style="118" customWidth="1"/>
    <col min="8454" max="8454" width="13.28515625" style="118" customWidth="1"/>
    <col min="8455" max="8455" width="13.42578125" style="118" customWidth="1"/>
    <col min="8456" max="8456" width="54.42578125" style="118" customWidth="1"/>
    <col min="8457" max="8706" width="9.140625" style="118"/>
    <col min="8707" max="8707" width="10.7109375" style="118" customWidth="1"/>
    <col min="8708" max="8708" width="10.5703125" style="118" customWidth="1"/>
    <col min="8709" max="8709" width="10.28515625" style="118" customWidth="1"/>
    <col min="8710" max="8710" width="13.28515625" style="118" customWidth="1"/>
    <col min="8711" max="8711" width="13.42578125" style="118" customWidth="1"/>
    <col min="8712" max="8712" width="54.42578125" style="118" customWidth="1"/>
    <col min="8713" max="8962" width="9.140625" style="118"/>
    <col min="8963" max="8963" width="10.7109375" style="118" customWidth="1"/>
    <col min="8964" max="8964" width="10.5703125" style="118" customWidth="1"/>
    <col min="8965" max="8965" width="10.28515625" style="118" customWidth="1"/>
    <col min="8966" max="8966" width="13.28515625" style="118" customWidth="1"/>
    <col min="8967" max="8967" width="13.42578125" style="118" customWidth="1"/>
    <col min="8968" max="8968" width="54.42578125" style="118" customWidth="1"/>
    <col min="8969" max="9218" width="9.140625" style="118"/>
    <col min="9219" max="9219" width="10.7109375" style="118" customWidth="1"/>
    <col min="9220" max="9220" width="10.5703125" style="118" customWidth="1"/>
    <col min="9221" max="9221" width="10.28515625" style="118" customWidth="1"/>
    <col min="9222" max="9222" width="13.28515625" style="118" customWidth="1"/>
    <col min="9223" max="9223" width="13.42578125" style="118" customWidth="1"/>
    <col min="9224" max="9224" width="54.42578125" style="118" customWidth="1"/>
    <col min="9225" max="9474" width="9.140625" style="118"/>
    <col min="9475" max="9475" width="10.7109375" style="118" customWidth="1"/>
    <col min="9476" max="9476" width="10.5703125" style="118" customWidth="1"/>
    <col min="9477" max="9477" width="10.28515625" style="118" customWidth="1"/>
    <col min="9478" max="9478" width="13.28515625" style="118" customWidth="1"/>
    <col min="9479" max="9479" width="13.42578125" style="118" customWidth="1"/>
    <col min="9480" max="9480" width="54.42578125" style="118" customWidth="1"/>
    <col min="9481" max="9730" width="9.140625" style="118"/>
    <col min="9731" max="9731" width="10.7109375" style="118" customWidth="1"/>
    <col min="9732" max="9732" width="10.5703125" style="118" customWidth="1"/>
    <col min="9733" max="9733" width="10.28515625" style="118" customWidth="1"/>
    <col min="9734" max="9734" width="13.28515625" style="118" customWidth="1"/>
    <col min="9735" max="9735" width="13.42578125" style="118" customWidth="1"/>
    <col min="9736" max="9736" width="54.42578125" style="118" customWidth="1"/>
    <col min="9737" max="9986" width="9.140625" style="118"/>
    <col min="9987" max="9987" width="10.7109375" style="118" customWidth="1"/>
    <col min="9988" max="9988" width="10.5703125" style="118" customWidth="1"/>
    <col min="9989" max="9989" width="10.28515625" style="118" customWidth="1"/>
    <col min="9990" max="9990" width="13.28515625" style="118" customWidth="1"/>
    <col min="9991" max="9991" width="13.42578125" style="118" customWidth="1"/>
    <col min="9992" max="9992" width="54.42578125" style="118" customWidth="1"/>
    <col min="9993" max="10242" width="9.140625" style="118"/>
    <col min="10243" max="10243" width="10.7109375" style="118" customWidth="1"/>
    <col min="10244" max="10244" width="10.5703125" style="118" customWidth="1"/>
    <col min="10245" max="10245" width="10.28515625" style="118" customWidth="1"/>
    <col min="10246" max="10246" width="13.28515625" style="118" customWidth="1"/>
    <col min="10247" max="10247" width="13.42578125" style="118" customWidth="1"/>
    <col min="10248" max="10248" width="54.42578125" style="118" customWidth="1"/>
    <col min="10249" max="10498" width="9.140625" style="118"/>
    <col min="10499" max="10499" width="10.7109375" style="118" customWidth="1"/>
    <col min="10500" max="10500" width="10.5703125" style="118" customWidth="1"/>
    <col min="10501" max="10501" width="10.28515625" style="118" customWidth="1"/>
    <col min="10502" max="10502" width="13.28515625" style="118" customWidth="1"/>
    <col min="10503" max="10503" width="13.42578125" style="118" customWidth="1"/>
    <col min="10504" max="10504" width="54.42578125" style="118" customWidth="1"/>
    <col min="10505" max="10754" width="9.140625" style="118"/>
    <col min="10755" max="10755" width="10.7109375" style="118" customWidth="1"/>
    <col min="10756" max="10756" width="10.5703125" style="118" customWidth="1"/>
    <col min="10757" max="10757" width="10.28515625" style="118" customWidth="1"/>
    <col min="10758" max="10758" width="13.28515625" style="118" customWidth="1"/>
    <col min="10759" max="10759" width="13.42578125" style="118" customWidth="1"/>
    <col min="10760" max="10760" width="54.42578125" style="118" customWidth="1"/>
    <col min="10761" max="11010" width="9.140625" style="118"/>
    <col min="11011" max="11011" width="10.7109375" style="118" customWidth="1"/>
    <col min="11012" max="11012" width="10.5703125" style="118" customWidth="1"/>
    <col min="11013" max="11013" width="10.28515625" style="118" customWidth="1"/>
    <col min="11014" max="11014" width="13.28515625" style="118" customWidth="1"/>
    <col min="11015" max="11015" width="13.42578125" style="118" customWidth="1"/>
    <col min="11016" max="11016" width="54.42578125" style="118" customWidth="1"/>
    <col min="11017" max="11266" width="9.140625" style="118"/>
    <col min="11267" max="11267" width="10.7109375" style="118" customWidth="1"/>
    <col min="11268" max="11268" width="10.5703125" style="118" customWidth="1"/>
    <col min="11269" max="11269" width="10.28515625" style="118" customWidth="1"/>
    <col min="11270" max="11270" width="13.28515625" style="118" customWidth="1"/>
    <col min="11271" max="11271" width="13.42578125" style="118" customWidth="1"/>
    <col min="11272" max="11272" width="54.42578125" style="118" customWidth="1"/>
    <col min="11273" max="11522" width="9.140625" style="118"/>
    <col min="11523" max="11523" width="10.7109375" style="118" customWidth="1"/>
    <col min="11524" max="11524" width="10.5703125" style="118" customWidth="1"/>
    <col min="11525" max="11525" width="10.28515625" style="118" customWidth="1"/>
    <col min="11526" max="11526" width="13.28515625" style="118" customWidth="1"/>
    <col min="11527" max="11527" width="13.42578125" style="118" customWidth="1"/>
    <col min="11528" max="11528" width="54.42578125" style="118" customWidth="1"/>
    <col min="11529" max="11778" width="9.140625" style="118"/>
    <col min="11779" max="11779" width="10.7109375" style="118" customWidth="1"/>
    <col min="11780" max="11780" width="10.5703125" style="118" customWidth="1"/>
    <col min="11781" max="11781" width="10.28515625" style="118" customWidth="1"/>
    <col min="11782" max="11782" width="13.28515625" style="118" customWidth="1"/>
    <col min="11783" max="11783" width="13.42578125" style="118" customWidth="1"/>
    <col min="11784" max="11784" width="54.42578125" style="118" customWidth="1"/>
    <col min="11785" max="12034" width="9.140625" style="118"/>
    <col min="12035" max="12035" width="10.7109375" style="118" customWidth="1"/>
    <col min="12036" max="12036" width="10.5703125" style="118" customWidth="1"/>
    <col min="12037" max="12037" width="10.28515625" style="118" customWidth="1"/>
    <col min="12038" max="12038" width="13.28515625" style="118" customWidth="1"/>
    <col min="12039" max="12039" width="13.42578125" style="118" customWidth="1"/>
    <col min="12040" max="12040" width="54.42578125" style="118" customWidth="1"/>
    <col min="12041" max="12290" width="9.140625" style="118"/>
    <col min="12291" max="12291" width="10.7109375" style="118" customWidth="1"/>
    <col min="12292" max="12292" width="10.5703125" style="118" customWidth="1"/>
    <col min="12293" max="12293" width="10.28515625" style="118" customWidth="1"/>
    <col min="12294" max="12294" width="13.28515625" style="118" customWidth="1"/>
    <col min="12295" max="12295" width="13.42578125" style="118" customWidth="1"/>
    <col min="12296" max="12296" width="54.42578125" style="118" customWidth="1"/>
    <col min="12297" max="12546" width="9.140625" style="118"/>
    <col min="12547" max="12547" width="10.7109375" style="118" customWidth="1"/>
    <col min="12548" max="12548" width="10.5703125" style="118" customWidth="1"/>
    <col min="12549" max="12549" width="10.28515625" style="118" customWidth="1"/>
    <col min="12550" max="12550" width="13.28515625" style="118" customWidth="1"/>
    <col min="12551" max="12551" width="13.42578125" style="118" customWidth="1"/>
    <col min="12552" max="12552" width="54.42578125" style="118" customWidth="1"/>
    <col min="12553" max="12802" width="9.140625" style="118"/>
    <col min="12803" max="12803" width="10.7109375" style="118" customWidth="1"/>
    <col min="12804" max="12804" width="10.5703125" style="118" customWidth="1"/>
    <col min="12805" max="12805" width="10.28515625" style="118" customWidth="1"/>
    <col min="12806" max="12806" width="13.28515625" style="118" customWidth="1"/>
    <col min="12807" max="12807" width="13.42578125" style="118" customWidth="1"/>
    <col min="12808" max="12808" width="54.42578125" style="118" customWidth="1"/>
    <col min="12809" max="13058" width="9.140625" style="118"/>
    <col min="13059" max="13059" width="10.7109375" style="118" customWidth="1"/>
    <col min="13060" max="13060" width="10.5703125" style="118" customWidth="1"/>
    <col min="13061" max="13061" width="10.28515625" style="118" customWidth="1"/>
    <col min="13062" max="13062" width="13.28515625" style="118" customWidth="1"/>
    <col min="13063" max="13063" width="13.42578125" style="118" customWidth="1"/>
    <col min="13064" max="13064" width="54.42578125" style="118" customWidth="1"/>
    <col min="13065" max="13314" width="9.140625" style="118"/>
    <col min="13315" max="13315" width="10.7109375" style="118" customWidth="1"/>
    <col min="13316" max="13316" width="10.5703125" style="118" customWidth="1"/>
    <col min="13317" max="13317" width="10.28515625" style="118" customWidth="1"/>
    <col min="13318" max="13318" width="13.28515625" style="118" customWidth="1"/>
    <col min="13319" max="13319" width="13.42578125" style="118" customWidth="1"/>
    <col min="13320" max="13320" width="54.42578125" style="118" customWidth="1"/>
    <col min="13321" max="13570" width="9.140625" style="118"/>
    <col min="13571" max="13571" width="10.7109375" style="118" customWidth="1"/>
    <col min="13572" max="13572" width="10.5703125" style="118" customWidth="1"/>
    <col min="13573" max="13573" width="10.28515625" style="118" customWidth="1"/>
    <col min="13574" max="13574" width="13.28515625" style="118" customWidth="1"/>
    <col min="13575" max="13575" width="13.42578125" style="118" customWidth="1"/>
    <col min="13576" max="13576" width="54.42578125" style="118" customWidth="1"/>
    <col min="13577" max="13826" width="9.140625" style="118"/>
    <col min="13827" max="13827" width="10.7109375" style="118" customWidth="1"/>
    <col min="13828" max="13828" width="10.5703125" style="118" customWidth="1"/>
    <col min="13829" max="13829" width="10.28515625" style="118" customWidth="1"/>
    <col min="13830" max="13830" width="13.28515625" style="118" customWidth="1"/>
    <col min="13831" max="13831" width="13.42578125" style="118" customWidth="1"/>
    <col min="13832" max="13832" width="54.42578125" style="118" customWidth="1"/>
    <col min="13833" max="14082" width="9.140625" style="118"/>
    <col min="14083" max="14083" width="10.7109375" style="118" customWidth="1"/>
    <col min="14084" max="14084" width="10.5703125" style="118" customWidth="1"/>
    <col min="14085" max="14085" width="10.28515625" style="118" customWidth="1"/>
    <col min="14086" max="14086" width="13.28515625" style="118" customWidth="1"/>
    <col min="14087" max="14087" width="13.42578125" style="118" customWidth="1"/>
    <col min="14088" max="14088" width="54.42578125" style="118" customWidth="1"/>
    <col min="14089" max="14338" width="9.140625" style="118"/>
    <col min="14339" max="14339" width="10.7109375" style="118" customWidth="1"/>
    <col min="14340" max="14340" width="10.5703125" style="118" customWidth="1"/>
    <col min="14341" max="14341" width="10.28515625" style="118" customWidth="1"/>
    <col min="14342" max="14342" width="13.28515625" style="118" customWidth="1"/>
    <col min="14343" max="14343" width="13.42578125" style="118" customWidth="1"/>
    <col min="14344" max="14344" width="54.42578125" style="118" customWidth="1"/>
    <col min="14345" max="14594" width="9.140625" style="118"/>
    <col min="14595" max="14595" width="10.7109375" style="118" customWidth="1"/>
    <col min="14596" max="14596" width="10.5703125" style="118" customWidth="1"/>
    <col min="14597" max="14597" width="10.28515625" style="118" customWidth="1"/>
    <col min="14598" max="14598" width="13.28515625" style="118" customWidth="1"/>
    <col min="14599" max="14599" width="13.42578125" style="118" customWidth="1"/>
    <col min="14600" max="14600" width="54.42578125" style="118" customWidth="1"/>
    <col min="14601" max="14850" width="9.140625" style="118"/>
    <col min="14851" max="14851" width="10.7109375" style="118" customWidth="1"/>
    <col min="14852" max="14852" width="10.5703125" style="118" customWidth="1"/>
    <col min="14853" max="14853" width="10.28515625" style="118" customWidth="1"/>
    <col min="14854" max="14854" width="13.28515625" style="118" customWidth="1"/>
    <col min="14855" max="14855" width="13.42578125" style="118" customWidth="1"/>
    <col min="14856" max="14856" width="54.42578125" style="118" customWidth="1"/>
    <col min="14857" max="15106" width="9.140625" style="118"/>
    <col min="15107" max="15107" width="10.7109375" style="118" customWidth="1"/>
    <col min="15108" max="15108" width="10.5703125" style="118" customWidth="1"/>
    <col min="15109" max="15109" width="10.28515625" style="118" customWidth="1"/>
    <col min="15110" max="15110" width="13.28515625" style="118" customWidth="1"/>
    <col min="15111" max="15111" width="13.42578125" style="118" customWidth="1"/>
    <col min="15112" max="15112" width="54.42578125" style="118" customWidth="1"/>
    <col min="15113" max="15362" width="9.140625" style="118"/>
    <col min="15363" max="15363" width="10.7109375" style="118" customWidth="1"/>
    <col min="15364" max="15364" width="10.5703125" style="118" customWidth="1"/>
    <col min="15365" max="15365" width="10.28515625" style="118" customWidth="1"/>
    <col min="15366" max="15366" width="13.28515625" style="118" customWidth="1"/>
    <col min="15367" max="15367" width="13.42578125" style="118" customWidth="1"/>
    <col min="15368" max="15368" width="54.42578125" style="118" customWidth="1"/>
    <col min="15369" max="15618" width="9.140625" style="118"/>
    <col min="15619" max="15619" width="10.7109375" style="118" customWidth="1"/>
    <col min="15620" max="15620" width="10.5703125" style="118" customWidth="1"/>
    <col min="15621" max="15621" width="10.28515625" style="118" customWidth="1"/>
    <col min="15622" max="15622" width="13.28515625" style="118" customWidth="1"/>
    <col min="15623" max="15623" width="13.42578125" style="118" customWidth="1"/>
    <col min="15624" max="15624" width="54.42578125" style="118" customWidth="1"/>
    <col min="15625" max="15874" width="9.140625" style="118"/>
    <col min="15875" max="15875" width="10.7109375" style="118" customWidth="1"/>
    <col min="15876" max="15876" width="10.5703125" style="118" customWidth="1"/>
    <col min="15877" max="15877" width="10.28515625" style="118" customWidth="1"/>
    <col min="15878" max="15878" width="13.28515625" style="118" customWidth="1"/>
    <col min="15879" max="15879" width="13.42578125" style="118" customWidth="1"/>
    <col min="15880" max="15880" width="54.42578125" style="118" customWidth="1"/>
    <col min="15881" max="16130" width="9.140625" style="118"/>
    <col min="16131" max="16131" width="10.7109375" style="118" customWidth="1"/>
    <col min="16132" max="16132" width="10.5703125" style="118" customWidth="1"/>
    <col min="16133" max="16133" width="10.28515625" style="118" customWidth="1"/>
    <col min="16134" max="16134" width="13.28515625" style="118" customWidth="1"/>
    <col min="16135" max="16135" width="13.42578125" style="118" customWidth="1"/>
    <col min="16136" max="16136" width="54.42578125" style="118" customWidth="1"/>
    <col min="16137" max="16384" width="9.140625" style="118"/>
  </cols>
  <sheetData>
    <row r="1" spans="1:8" ht="51" customHeight="1">
      <c r="A1" s="4085"/>
      <c r="B1" s="4085"/>
      <c r="C1" s="4085"/>
      <c r="D1" s="4085"/>
      <c r="E1" s="4086"/>
      <c r="F1" s="3983" t="s">
        <v>1454</v>
      </c>
      <c r="G1" s="3983"/>
      <c r="H1" s="3983"/>
    </row>
    <row r="2" spans="1:8" ht="45.75" customHeight="1">
      <c r="A2" s="4007" t="s">
        <v>266</v>
      </c>
      <c r="B2" s="4007"/>
      <c r="C2" s="4007"/>
      <c r="D2" s="4007"/>
      <c r="E2" s="4007"/>
      <c r="F2" s="4007"/>
      <c r="G2" s="4007"/>
      <c r="H2" s="4007"/>
    </row>
    <row r="3" spans="1:8" ht="13.5" thickBot="1">
      <c r="A3" s="1"/>
      <c r="B3" s="1"/>
      <c r="C3" s="1"/>
      <c r="D3" s="1"/>
      <c r="E3" s="1"/>
      <c r="F3" s="244"/>
      <c r="G3" s="244"/>
      <c r="H3" s="416" t="s">
        <v>200</v>
      </c>
    </row>
    <row r="4" spans="1:8" ht="15.75" thickBot="1">
      <c r="A4" s="4082" t="s">
        <v>0</v>
      </c>
      <c r="B4" s="4082" t="s">
        <v>30</v>
      </c>
      <c r="C4" s="4082" t="s">
        <v>31</v>
      </c>
      <c r="D4" s="4082" t="s">
        <v>2</v>
      </c>
      <c r="E4" s="4078" t="s">
        <v>85</v>
      </c>
      <c r="F4" s="4011" t="s">
        <v>267</v>
      </c>
      <c r="G4" s="4010"/>
      <c r="H4" s="4082" t="s">
        <v>131</v>
      </c>
    </row>
    <row r="5" spans="1:8" ht="15.75" thickBot="1">
      <c r="A5" s="4083"/>
      <c r="B5" s="4083"/>
      <c r="C5" s="4083"/>
      <c r="D5" s="4083"/>
      <c r="E5" s="4079"/>
      <c r="F5" s="322" t="s">
        <v>132</v>
      </c>
      <c r="G5" s="322" t="s">
        <v>88</v>
      </c>
      <c r="H5" s="4083"/>
    </row>
    <row r="6" spans="1:8" ht="83.25" customHeight="1" thickBot="1">
      <c r="A6" s="132" t="s">
        <v>33</v>
      </c>
      <c r="B6" s="132" t="s">
        <v>34</v>
      </c>
      <c r="C6" s="417" t="s">
        <v>268</v>
      </c>
      <c r="D6" s="418" t="s">
        <v>269</v>
      </c>
      <c r="E6" s="168">
        <f>SUM(F6:G6)</f>
        <v>43873000</v>
      </c>
      <c r="F6" s="168">
        <v>43873000</v>
      </c>
      <c r="G6" s="168">
        <v>0</v>
      </c>
      <c r="H6" s="135" t="s">
        <v>270</v>
      </c>
    </row>
    <row r="7" spans="1:8" ht="36.75" customHeight="1" thickBot="1">
      <c r="A7" s="4084" t="s">
        <v>128</v>
      </c>
      <c r="B7" s="4084"/>
      <c r="C7" s="419"/>
      <c r="D7" s="419"/>
      <c r="E7" s="229">
        <f>SUM(E6:E6)</f>
        <v>43873000</v>
      </c>
      <c r="F7" s="229">
        <f>SUM(F6:F6)</f>
        <v>43873000</v>
      </c>
      <c r="G7" s="229">
        <f>SUM(G6)</f>
        <v>0</v>
      </c>
      <c r="H7" s="420"/>
    </row>
    <row r="24" spans="6:7">
      <c r="F24" s="204"/>
      <c r="G24" s="204"/>
    </row>
    <row r="534" spans="17:17">
      <c r="Q534" s="118">
        <f>P534-O534</f>
        <v>0</v>
      </c>
    </row>
  </sheetData>
  <mergeCells count="11">
    <mergeCell ref="A7:B7"/>
    <mergeCell ref="A1:E1"/>
    <mergeCell ref="F1:H1"/>
    <mergeCell ref="A2:H2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Q535"/>
  <sheetViews>
    <sheetView view="pageBreakPreview" zoomScaleNormal="100" zoomScaleSheetLayoutView="100" workbookViewId="0">
      <selection activeCell="J7" sqref="J7"/>
    </sheetView>
  </sheetViews>
  <sheetFormatPr defaultRowHeight="12.75"/>
  <cols>
    <col min="1" max="1" width="7" style="118" customWidth="1"/>
    <col min="2" max="2" width="10.28515625" style="118" customWidth="1"/>
    <col min="3" max="3" width="24" style="118" customWidth="1"/>
    <col min="4" max="4" width="11" style="118" customWidth="1"/>
    <col min="5" max="5" width="13.42578125" style="118" customWidth="1"/>
    <col min="6" max="7" width="15.7109375" style="118" customWidth="1"/>
    <col min="8" max="8" width="16" style="118" customWidth="1"/>
    <col min="9" max="9" width="61.28515625" style="118" customWidth="1"/>
    <col min="10" max="257" width="9.140625" style="118"/>
    <col min="258" max="258" width="7" style="118" customWidth="1"/>
    <col min="259" max="259" width="10.7109375" style="118" customWidth="1"/>
    <col min="260" max="260" width="15.7109375" style="118" customWidth="1"/>
    <col min="261" max="262" width="13.42578125" style="118" customWidth="1"/>
    <col min="263" max="263" width="17.85546875" style="118" customWidth="1"/>
    <col min="264" max="264" width="16" style="118" customWidth="1"/>
    <col min="265" max="265" width="43.42578125" style="118" customWidth="1"/>
    <col min="266" max="513" width="9.140625" style="118"/>
    <col min="514" max="514" width="7" style="118" customWidth="1"/>
    <col min="515" max="515" width="10.7109375" style="118" customWidth="1"/>
    <col min="516" max="516" width="15.7109375" style="118" customWidth="1"/>
    <col min="517" max="518" width="13.42578125" style="118" customWidth="1"/>
    <col min="519" max="519" width="17.85546875" style="118" customWidth="1"/>
    <col min="520" max="520" width="16" style="118" customWidth="1"/>
    <col min="521" max="521" width="43.42578125" style="118" customWidth="1"/>
    <col min="522" max="769" width="9.140625" style="118"/>
    <col min="770" max="770" width="7" style="118" customWidth="1"/>
    <col min="771" max="771" width="10.7109375" style="118" customWidth="1"/>
    <col min="772" max="772" width="15.7109375" style="118" customWidth="1"/>
    <col min="773" max="774" width="13.42578125" style="118" customWidth="1"/>
    <col min="775" max="775" width="17.85546875" style="118" customWidth="1"/>
    <col min="776" max="776" width="16" style="118" customWidth="1"/>
    <col min="777" max="777" width="43.42578125" style="118" customWidth="1"/>
    <col min="778" max="1025" width="9.140625" style="118"/>
    <col min="1026" max="1026" width="7" style="118" customWidth="1"/>
    <col min="1027" max="1027" width="10.7109375" style="118" customWidth="1"/>
    <col min="1028" max="1028" width="15.7109375" style="118" customWidth="1"/>
    <col min="1029" max="1030" width="13.42578125" style="118" customWidth="1"/>
    <col min="1031" max="1031" width="17.85546875" style="118" customWidth="1"/>
    <col min="1032" max="1032" width="16" style="118" customWidth="1"/>
    <col min="1033" max="1033" width="43.42578125" style="118" customWidth="1"/>
    <col min="1034" max="1281" width="9.140625" style="118"/>
    <col min="1282" max="1282" width="7" style="118" customWidth="1"/>
    <col min="1283" max="1283" width="10.7109375" style="118" customWidth="1"/>
    <col min="1284" max="1284" width="15.7109375" style="118" customWidth="1"/>
    <col min="1285" max="1286" width="13.42578125" style="118" customWidth="1"/>
    <col min="1287" max="1287" width="17.85546875" style="118" customWidth="1"/>
    <col min="1288" max="1288" width="16" style="118" customWidth="1"/>
    <col min="1289" max="1289" width="43.42578125" style="118" customWidth="1"/>
    <col min="1290" max="1537" width="9.140625" style="118"/>
    <col min="1538" max="1538" width="7" style="118" customWidth="1"/>
    <col min="1539" max="1539" width="10.7109375" style="118" customWidth="1"/>
    <col min="1540" max="1540" width="15.7109375" style="118" customWidth="1"/>
    <col min="1541" max="1542" width="13.42578125" style="118" customWidth="1"/>
    <col min="1543" max="1543" width="17.85546875" style="118" customWidth="1"/>
    <col min="1544" max="1544" width="16" style="118" customWidth="1"/>
    <col min="1545" max="1545" width="43.42578125" style="118" customWidth="1"/>
    <col min="1546" max="1793" width="9.140625" style="118"/>
    <col min="1794" max="1794" width="7" style="118" customWidth="1"/>
    <col min="1795" max="1795" width="10.7109375" style="118" customWidth="1"/>
    <col min="1796" max="1796" width="15.7109375" style="118" customWidth="1"/>
    <col min="1797" max="1798" width="13.42578125" style="118" customWidth="1"/>
    <col min="1799" max="1799" width="17.85546875" style="118" customWidth="1"/>
    <col min="1800" max="1800" width="16" style="118" customWidth="1"/>
    <col min="1801" max="1801" width="43.42578125" style="118" customWidth="1"/>
    <col min="1802" max="2049" width="9.140625" style="118"/>
    <col min="2050" max="2050" width="7" style="118" customWidth="1"/>
    <col min="2051" max="2051" width="10.7109375" style="118" customWidth="1"/>
    <col min="2052" max="2052" width="15.7109375" style="118" customWidth="1"/>
    <col min="2053" max="2054" width="13.42578125" style="118" customWidth="1"/>
    <col min="2055" max="2055" width="17.85546875" style="118" customWidth="1"/>
    <col min="2056" max="2056" width="16" style="118" customWidth="1"/>
    <col min="2057" max="2057" width="43.42578125" style="118" customWidth="1"/>
    <col min="2058" max="2305" width="9.140625" style="118"/>
    <col min="2306" max="2306" width="7" style="118" customWidth="1"/>
    <col min="2307" max="2307" width="10.7109375" style="118" customWidth="1"/>
    <col min="2308" max="2308" width="15.7109375" style="118" customWidth="1"/>
    <col min="2309" max="2310" width="13.42578125" style="118" customWidth="1"/>
    <col min="2311" max="2311" width="17.85546875" style="118" customWidth="1"/>
    <col min="2312" max="2312" width="16" style="118" customWidth="1"/>
    <col min="2313" max="2313" width="43.42578125" style="118" customWidth="1"/>
    <col min="2314" max="2561" width="9.140625" style="118"/>
    <col min="2562" max="2562" width="7" style="118" customWidth="1"/>
    <col min="2563" max="2563" width="10.7109375" style="118" customWidth="1"/>
    <col min="2564" max="2564" width="15.7109375" style="118" customWidth="1"/>
    <col min="2565" max="2566" width="13.42578125" style="118" customWidth="1"/>
    <col min="2567" max="2567" width="17.85546875" style="118" customWidth="1"/>
    <col min="2568" max="2568" width="16" style="118" customWidth="1"/>
    <col min="2569" max="2569" width="43.42578125" style="118" customWidth="1"/>
    <col min="2570" max="2817" width="9.140625" style="118"/>
    <col min="2818" max="2818" width="7" style="118" customWidth="1"/>
    <col min="2819" max="2819" width="10.7109375" style="118" customWidth="1"/>
    <col min="2820" max="2820" width="15.7109375" style="118" customWidth="1"/>
    <col min="2821" max="2822" width="13.42578125" style="118" customWidth="1"/>
    <col min="2823" max="2823" width="17.85546875" style="118" customWidth="1"/>
    <col min="2824" max="2824" width="16" style="118" customWidth="1"/>
    <col min="2825" max="2825" width="43.42578125" style="118" customWidth="1"/>
    <col min="2826" max="3073" width="9.140625" style="118"/>
    <col min="3074" max="3074" width="7" style="118" customWidth="1"/>
    <col min="3075" max="3075" width="10.7109375" style="118" customWidth="1"/>
    <col min="3076" max="3076" width="15.7109375" style="118" customWidth="1"/>
    <col min="3077" max="3078" width="13.42578125" style="118" customWidth="1"/>
    <col min="3079" max="3079" width="17.85546875" style="118" customWidth="1"/>
    <col min="3080" max="3080" width="16" style="118" customWidth="1"/>
    <col min="3081" max="3081" width="43.42578125" style="118" customWidth="1"/>
    <col min="3082" max="3329" width="9.140625" style="118"/>
    <col min="3330" max="3330" width="7" style="118" customWidth="1"/>
    <col min="3331" max="3331" width="10.7109375" style="118" customWidth="1"/>
    <col min="3332" max="3332" width="15.7109375" style="118" customWidth="1"/>
    <col min="3333" max="3334" width="13.42578125" style="118" customWidth="1"/>
    <col min="3335" max="3335" width="17.85546875" style="118" customWidth="1"/>
    <col min="3336" max="3336" width="16" style="118" customWidth="1"/>
    <col min="3337" max="3337" width="43.42578125" style="118" customWidth="1"/>
    <col min="3338" max="3585" width="9.140625" style="118"/>
    <col min="3586" max="3586" width="7" style="118" customWidth="1"/>
    <col min="3587" max="3587" width="10.7109375" style="118" customWidth="1"/>
    <col min="3588" max="3588" width="15.7109375" style="118" customWidth="1"/>
    <col min="3589" max="3590" width="13.42578125" style="118" customWidth="1"/>
    <col min="3591" max="3591" width="17.85546875" style="118" customWidth="1"/>
    <col min="3592" max="3592" width="16" style="118" customWidth="1"/>
    <col min="3593" max="3593" width="43.42578125" style="118" customWidth="1"/>
    <col min="3594" max="3841" width="9.140625" style="118"/>
    <col min="3842" max="3842" width="7" style="118" customWidth="1"/>
    <col min="3843" max="3843" width="10.7109375" style="118" customWidth="1"/>
    <col min="3844" max="3844" width="15.7109375" style="118" customWidth="1"/>
    <col min="3845" max="3846" width="13.42578125" style="118" customWidth="1"/>
    <col min="3847" max="3847" width="17.85546875" style="118" customWidth="1"/>
    <col min="3848" max="3848" width="16" style="118" customWidth="1"/>
    <col min="3849" max="3849" width="43.42578125" style="118" customWidth="1"/>
    <col min="3850" max="4097" width="9.140625" style="118"/>
    <col min="4098" max="4098" width="7" style="118" customWidth="1"/>
    <col min="4099" max="4099" width="10.7109375" style="118" customWidth="1"/>
    <col min="4100" max="4100" width="15.7109375" style="118" customWidth="1"/>
    <col min="4101" max="4102" width="13.42578125" style="118" customWidth="1"/>
    <col min="4103" max="4103" width="17.85546875" style="118" customWidth="1"/>
    <col min="4104" max="4104" width="16" style="118" customWidth="1"/>
    <col min="4105" max="4105" width="43.42578125" style="118" customWidth="1"/>
    <col min="4106" max="4353" width="9.140625" style="118"/>
    <col min="4354" max="4354" width="7" style="118" customWidth="1"/>
    <col min="4355" max="4355" width="10.7109375" style="118" customWidth="1"/>
    <col min="4356" max="4356" width="15.7109375" style="118" customWidth="1"/>
    <col min="4357" max="4358" width="13.42578125" style="118" customWidth="1"/>
    <col min="4359" max="4359" width="17.85546875" style="118" customWidth="1"/>
    <col min="4360" max="4360" width="16" style="118" customWidth="1"/>
    <col min="4361" max="4361" width="43.42578125" style="118" customWidth="1"/>
    <col min="4362" max="4609" width="9.140625" style="118"/>
    <col min="4610" max="4610" width="7" style="118" customWidth="1"/>
    <col min="4611" max="4611" width="10.7109375" style="118" customWidth="1"/>
    <col min="4612" max="4612" width="15.7109375" style="118" customWidth="1"/>
    <col min="4613" max="4614" width="13.42578125" style="118" customWidth="1"/>
    <col min="4615" max="4615" width="17.85546875" style="118" customWidth="1"/>
    <col min="4616" max="4616" width="16" style="118" customWidth="1"/>
    <col min="4617" max="4617" width="43.42578125" style="118" customWidth="1"/>
    <col min="4618" max="4865" width="9.140625" style="118"/>
    <col min="4866" max="4866" width="7" style="118" customWidth="1"/>
    <col min="4867" max="4867" width="10.7109375" style="118" customWidth="1"/>
    <col min="4868" max="4868" width="15.7109375" style="118" customWidth="1"/>
    <col min="4869" max="4870" width="13.42578125" style="118" customWidth="1"/>
    <col min="4871" max="4871" width="17.85546875" style="118" customWidth="1"/>
    <col min="4872" max="4872" width="16" style="118" customWidth="1"/>
    <col min="4873" max="4873" width="43.42578125" style="118" customWidth="1"/>
    <col min="4874" max="5121" width="9.140625" style="118"/>
    <col min="5122" max="5122" width="7" style="118" customWidth="1"/>
    <col min="5123" max="5123" width="10.7109375" style="118" customWidth="1"/>
    <col min="5124" max="5124" width="15.7109375" style="118" customWidth="1"/>
    <col min="5125" max="5126" width="13.42578125" style="118" customWidth="1"/>
    <col min="5127" max="5127" width="17.85546875" style="118" customWidth="1"/>
    <col min="5128" max="5128" width="16" style="118" customWidth="1"/>
    <col min="5129" max="5129" width="43.42578125" style="118" customWidth="1"/>
    <col min="5130" max="5377" width="9.140625" style="118"/>
    <col min="5378" max="5378" width="7" style="118" customWidth="1"/>
    <col min="5379" max="5379" width="10.7109375" style="118" customWidth="1"/>
    <col min="5380" max="5380" width="15.7109375" style="118" customWidth="1"/>
    <col min="5381" max="5382" width="13.42578125" style="118" customWidth="1"/>
    <col min="5383" max="5383" width="17.85546875" style="118" customWidth="1"/>
    <col min="5384" max="5384" width="16" style="118" customWidth="1"/>
    <col min="5385" max="5385" width="43.42578125" style="118" customWidth="1"/>
    <col min="5386" max="5633" width="9.140625" style="118"/>
    <col min="5634" max="5634" width="7" style="118" customWidth="1"/>
    <col min="5635" max="5635" width="10.7109375" style="118" customWidth="1"/>
    <col min="5636" max="5636" width="15.7109375" style="118" customWidth="1"/>
    <col min="5637" max="5638" width="13.42578125" style="118" customWidth="1"/>
    <col min="5639" max="5639" width="17.85546875" style="118" customWidth="1"/>
    <col min="5640" max="5640" width="16" style="118" customWidth="1"/>
    <col min="5641" max="5641" width="43.42578125" style="118" customWidth="1"/>
    <col min="5642" max="5889" width="9.140625" style="118"/>
    <col min="5890" max="5890" width="7" style="118" customWidth="1"/>
    <col min="5891" max="5891" width="10.7109375" style="118" customWidth="1"/>
    <col min="5892" max="5892" width="15.7109375" style="118" customWidth="1"/>
    <col min="5893" max="5894" width="13.42578125" style="118" customWidth="1"/>
    <col min="5895" max="5895" width="17.85546875" style="118" customWidth="1"/>
    <col min="5896" max="5896" width="16" style="118" customWidth="1"/>
    <col min="5897" max="5897" width="43.42578125" style="118" customWidth="1"/>
    <col min="5898" max="6145" width="9.140625" style="118"/>
    <col min="6146" max="6146" width="7" style="118" customWidth="1"/>
    <col min="6147" max="6147" width="10.7109375" style="118" customWidth="1"/>
    <col min="6148" max="6148" width="15.7109375" style="118" customWidth="1"/>
    <col min="6149" max="6150" width="13.42578125" style="118" customWidth="1"/>
    <col min="6151" max="6151" width="17.85546875" style="118" customWidth="1"/>
    <col min="6152" max="6152" width="16" style="118" customWidth="1"/>
    <col min="6153" max="6153" width="43.42578125" style="118" customWidth="1"/>
    <col min="6154" max="6401" width="9.140625" style="118"/>
    <col min="6402" max="6402" width="7" style="118" customWidth="1"/>
    <col min="6403" max="6403" width="10.7109375" style="118" customWidth="1"/>
    <col min="6404" max="6404" width="15.7109375" style="118" customWidth="1"/>
    <col min="6405" max="6406" width="13.42578125" style="118" customWidth="1"/>
    <col min="6407" max="6407" width="17.85546875" style="118" customWidth="1"/>
    <col min="6408" max="6408" width="16" style="118" customWidth="1"/>
    <col min="6409" max="6409" width="43.42578125" style="118" customWidth="1"/>
    <col min="6410" max="6657" width="9.140625" style="118"/>
    <col min="6658" max="6658" width="7" style="118" customWidth="1"/>
    <col min="6659" max="6659" width="10.7109375" style="118" customWidth="1"/>
    <col min="6660" max="6660" width="15.7109375" style="118" customWidth="1"/>
    <col min="6661" max="6662" width="13.42578125" style="118" customWidth="1"/>
    <col min="6663" max="6663" width="17.85546875" style="118" customWidth="1"/>
    <col min="6664" max="6664" width="16" style="118" customWidth="1"/>
    <col min="6665" max="6665" width="43.42578125" style="118" customWidth="1"/>
    <col min="6666" max="6913" width="9.140625" style="118"/>
    <col min="6914" max="6914" width="7" style="118" customWidth="1"/>
    <col min="6915" max="6915" width="10.7109375" style="118" customWidth="1"/>
    <col min="6916" max="6916" width="15.7109375" style="118" customWidth="1"/>
    <col min="6917" max="6918" width="13.42578125" style="118" customWidth="1"/>
    <col min="6919" max="6919" width="17.85546875" style="118" customWidth="1"/>
    <col min="6920" max="6920" width="16" style="118" customWidth="1"/>
    <col min="6921" max="6921" width="43.42578125" style="118" customWidth="1"/>
    <col min="6922" max="7169" width="9.140625" style="118"/>
    <col min="7170" max="7170" width="7" style="118" customWidth="1"/>
    <col min="7171" max="7171" width="10.7109375" style="118" customWidth="1"/>
    <col min="7172" max="7172" width="15.7109375" style="118" customWidth="1"/>
    <col min="7173" max="7174" width="13.42578125" style="118" customWidth="1"/>
    <col min="7175" max="7175" width="17.85546875" style="118" customWidth="1"/>
    <col min="7176" max="7176" width="16" style="118" customWidth="1"/>
    <col min="7177" max="7177" width="43.42578125" style="118" customWidth="1"/>
    <col min="7178" max="7425" width="9.140625" style="118"/>
    <col min="7426" max="7426" width="7" style="118" customWidth="1"/>
    <col min="7427" max="7427" width="10.7109375" style="118" customWidth="1"/>
    <col min="7428" max="7428" width="15.7109375" style="118" customWidth="1"/>
    <col min="7429" max="7430" width="13.42578125" style="118" customWidth="1"/>
    <col min="7431" max="7431" width="17.85546875" style="118" customWidth="1"/>
    <col min="7432" max="7432" width="16" style="118" customWidth="1"/>
    <col min="7433" max="7433" width="43.42578125" style="118" customWidth="1"/>
    <col min="7434" max="7681" width="9.140625" style="118"/>
    <col min="7682" max="7682" width="7" style="118" customWidth="1"/>
    <col min="7683" max="7683" width="10.7109375" style="118" customWidth="1"/>
    <col min="7684" max="7684" width="15.7109375" style="118" customWidth="1"/>
    <col min="7685" max="7686" width="13.42578125" style="118" customWidth="1"/>
    <col min="7687" max="7687" width="17.85546875" style="118" customWidth="1"/>
    <col min="7688" max="7688" width="16" style="118" customWidth="1"/>
    <col min="7689" max="7689" width="43.42578125" style="118" customWidth="1"/>
    <col min="7690" max="7937" width="9.140625" style="118"/>
    <col min="7938" max="7938" width="7" style="118" customWidth="1"/>
    <col min="7939" max="7939" width="10.7109375" style="118" customWidth="1"/>
    <col min="7940" max="7940" width="15.7109375" style="118" customWidth="1"/>
    <col min="7941" max="7942" width="13.42578125" style="118" customWidth="1"/>
    <col min="7943" max="7943" width="17.85546875" style="118" customWidth="1"/>
    <col min="7944" max="7944" width="16" style="118" customWidth="1"/>
    <col min="7945" max="7945" width="43.42578125" style="118" customWidth="1"/>
    <col min="7946" max="8193" width="9.140625" style="118"/>
    <col min="8194" max="8194" width="7" style="118" customWidth="1"/>
    <col min="8195" max="8195" width="10.7109375" style="118" customWidth="1"/>
    <col min="8196" max="8196" width="15.7109375" style="118" customWidth="1"/>
    <col min="8197" max="8198" width="13.42578125" style="118" customWidth="1"/>
    <col min="8199" max="8199" width="17.85546875" style="118" customWidth="1"/>
    <col min="8200" max="8200" width="16" style="118" customWidth="1"/>
    <col min="8201" max="8201" width="43.42578125" style="118" customWidth="1"/>
    <col min="8202" max="8449" width="9.140625" style="118"/>
    <col min="8450" max="8450" width="7" style="118" customWidth="1"/>
    <col min="8451" max="8451" width="10.7109375" style="118" customWidth="1"/>
    <col min="8452" max="8452" width="15.7109375" style="118" customWidth="1"/>
    <col min="8453" max="8454" width="13.42578125" style="118" customWidth="1"/>
    <col min="8455" max="8455" width="17.85546875" style="118" customWidth="1"/>
    <col min="8456" max="8456" width="16" style="118" customWidth="1"/>
    <col min="8457" max="8457" width="43.42578125" style="118" customWidth="1"/>
    <col min="8458" max="8705" width="9.140625" style="118"/>
    <col min="8706" max="8706" width="7" style="118" customWidth="1"/>
    <col min="8707" max="8707" width="10.7109375" style="118" customWidth="1"/>
    <col min="8708" max="8708" width="15.7109375" style="118" customWidth="1"/>
    <col min="8709" max="8710" width="13.42578125" style="118" customWidth="1"/>
    <col min="8711" max="8711" width="17.85546875" style="118" customWidth="1"/>
    <col min="8712" max="8712" width="16" style="118" customWidth="1"/>
    <col min="8713" max="8713" width="43.42578125" style="118" customWidth="1"/>
    <col min="8714" max="8961" width="9.140625" style="118"/>
    <col min="8962" max="8962" width="7" style="118" customWidth="1"/>
    <col min="8963" max="8963" width="10.7109375" style="118" customWidth="1"/>
    <col min="8964" max="8964" width="15.7109375" style="118" customWidth="1"/>
    <col min="8965" max="8966" width="13.42578125" style="118" customWidth="1"/>
    <col min="8967" max="8967" width="17.85546875" style="118" customWidth="1"/>
    <col min="8968" max="8968" width="16" style="118" customWidth="1"/>
    <col min="8969" max="8969" width="43.42578125" style="118" customWidth="1"/>
    <col min="8970" max="9217" width="9.140625" style="118"/>
    <col min="9218" max="9218" width="7" style="118" customWidth="1"/>
    <col min="9219" max="9219" width="10.7109375" style="118" customWidth="1"/>
    <col min="9220" max="9220" width="15.7109375" style="118" customWidth="1"/>
    <col min="9221" max="9222" width="13.42578125" style="118" customWidth="1"/>
    <col min="9223" max="9223" width="17.85546875" style="118" customWidth="1"/>
    <col min="9224" max="9224" width="16" style="118" customWidth="1"/>
    <col min="9225" max="9225" width="43.42578125" style="118" customWidth="1"/>
    <col min="9226" max="9473" width="9.140625" style="118"/>
    <col min="9474" max="9474" width="7" style="118" customWidth="1"/>
    <col min="9475" max="9475" width="10.7109375" style="118" customWidth="1"/>
    <col min="9476" max="9476" width="15.7109375" style="118" customWidth="1"/>
    <col min="9477" max="9478" width="13.42578125" style="118" customWidth="1"/>
    <col min="9479" max="9479" width="17.85546875" style="118" customWidth="1"/>
    <col min="9480" max="9480" width="16" style="118" customWidth="1"/>
    <col min="9481" max="9481" width="43.42578125" style="118" customWidth="1"/>
    <col min="9482" max="9729" width="9.140625" style="118"/>
    <col min="9730" max="9730" width="7" style="118" customWidth="1"/>
    <col min="9731" max="9731" width="10.7109375" style="118" customWidth="1"/>
    <col min="9732" max="9732" width="15.7109375" style="118" customWidth="1"/>
    <col min="9733" max="9734" width="13.42578125" style="118" customWidth="1"/>
    <col min="9735" max="9735" width="17.85546875" style="118" customWidth="1"/>
    <col min="9736" max="9736" width="16" style="118" customWidth="1"/>
    <col min="9737" max="9737" width="43.42578125" style="118" customWidth="1"/>
    <col min="9738" max="9985" width="9.140625" style="118"/>
    <col min="9986" max="9986" width="7" style="118" customWidth="1"/>
    <col min="9987" max="9987" width="10.7109375" style="118" customWidth="1"/>
    <col min="9988" max="9988" width="15.7109375" style="118" customWidth="1"/>
    <col min="9989" max="9990" width="13.42578125" style="118" customWidth="1"/>
    <col min="9991" max="9991" width="17.85546875" style="118" customWidth="1"/>
    <col min="9992" max="9992" width="16" style="118" customWidth="1"/>
    <col min="9993" max="9993" width="43.42578125" style="118" customWidth="1"/>
    <col min="9994" max="10241" width="9.140625" style="118"/>
    <col min="10242" max="10242" width="7" style="118" customWidth="1"/>
    <col min="10243" max="10243" width="10.7109375" style="118" customWidth="1"/>
    <col min="10244" max="10244" width="15.7109375" style="118" customWidth="1"/>
    <col min="10245" max="10246" width="13.42578125" style="118" customWidth="1"/>
    <col min="10247" max="10247" width="17.85546875" style="118" customWidth="1"/>
    <col min="10248" max="10248" width="16" style="118" customWidth="1"/>
    <col min="10249" max="10249" width="43.42578125" style="118" customWidth="1"/>
    <col min="10250" max="10497" width="9.140625" style="118"/>
    <col min="10498" max="10498" width="7" style="118" customWidth="1"/>
    <col min="10499" max="10499" width="10.7109375" style="118" customWidth="1"/>
    <col min="10500" max="10500" width="15.7109375" style="118" customWidth="1"/>
    <col min="10501" max="10502" width="13.42578125" style="118" customWidth="1"/>
    <col min="10503" max="10503" width="17.85546875" style="118" customWidth="1"/>
    <col min="10504" max="10504" width="16" style="118" customWidth="1"/>
    <col min="10505" max="10505" width="43.42578125" style="118" customWidth="1"/>
    <col min="10506" max="10753" width="9.140625" style="118"/>
    <col min="10754" max="10754" width="7" style="118" customWidth="1"/>
    <col min="10755" max="10755" width="10.7109375" style="118" customWidth="1"/>
    <col min="10756" max="10756" width="15.7109375" style="118" customWidth="1"/>
    <col min="10757" max="10758" width="13.42578125" style="118" customWidth="1"/>
    <col min="10759" max="10759" width="17.85546875" style="118" customWidth="1"/>
    <col min="10760" max="10760" width="16" style="118" customWidth="1"/>
    <col min="10761" max="10761" width="43.42578125" style="118" customWidth="1"/>
    <col min="10762" max="11009" width="9.140625" style="118"/>
    <col min="11010" max="11010" width="7" style="118" customWidth="1"/>
    <col min="11011" max="11011" width="10.7109375" style="118" customWidth="1"/>
    <col min="11012" max="11012" width="15.7109375" style="118" customWidth="1"/>
    <col min="11013" max="11014" width="13.42578125" style="118" customWidth="1"/>
    <col min="11015" max="11015" width="17.85546875" style="118" customWidth="1"/>
    <col min="11016" max="11016" width="16" style="118" customWidth="1"/>
    <col min="11017" max="11017" width="43.42578125" style="118" customWidth="1"/>
    <col min="11018" max="11265" width="9.140625" style="118"/>
    <col min="11266" max="11266" width="7" style="118" customWidth="1"/>
    <col min="11267" max="11267" width="10.7109375" style="118" customWidth="1"/>
    <col min="11268" max="11268" width="15.7109375" style="118" customWidth="1"/>
    <col min="11269" max="11270" width="13.42578125" style="118" customWidth="1"/>
    <col min="11271" max="11271" width="17.85546875" style="118" customWidth="1"/>
    <col min="11272" max="11272" width="16" style="118" customWidth="1"/>
    <col min="11273" max="11273" width="43.42578125" style="118" customWidth="1"/>
    <col min="11274" max="11521" width="9.140625" style="118"/>
    <col min="11522" max="11522" width="7" style="118" customWidth="1"/>
    <col min="11523" max="11523" width="10.7109375" style="118" customWidth="1"/>
    <col min="11524" max="11524" width="15.7109375" style="118" customWidth="1"/>
    <col min="11525" max="11526" width="13.42578125" style="118" customWidth="1"/>
    <col min="11527" max="11527" width="17.85546875" style="118" customWidth="1"/>
    <col min="11528" max="11528" width="16" style="118" customWidth="1"/>
    <col min="11529" max="11529" width="43.42578125" style="118" customWidth="1"/>
    <col min="11530" max="11777" width="9.140625" style="118"/>
    <col min="11778" max="11778" width="7" style="118" customWidth="1"/>
    <col min="11779" max="11779" width="10.7109375" style="118" customWidth="1"/>
    <col min="11780" max="11780" width="15.7109375" style="118" customWidth="1"/>
    <col min="11781" max="11782" width="13.42578125" style="118" customWidth="1"/>
    <col min="11783" max="11783" width="17.85546875" style="118" customWidth="1"/>
    <col min="11784" max="11784" width="16" style="118" customWidth="1"/>
    <col min="11785" max="11785" width="43.42578125" style="118" customWidth="1"/>
    <col min="11786" max="12033" width="9.140625" style="118"/>
    <col min="12034" max="12034" width="7" style="118" customWidth="1"/>
    <col min="12035" max="12035" width="10.7109375" style="118" customWidth="1"/>
    <col min="12036" max="12036" width="15.7109375" style="118" customWidth="1"/>
    <col min="12037" max="12038" width="13.42578125" style="118" customWidth="1"/>
    <col min="12039" max="12039" width="17.85546875" style="118" customWidth="1"/>
    <col min="12040" max="12040" width="16" style="118" customWidth="1"/>
    <col min="12041" max="12041" width="43.42578125" style="118" customWidth="1"/>
    <col min="12042" max="12289" width="9.140625" style="118"/>
    <col min="12290" max="12290" width="7" style="118" customWidth="1"/>
    <col min="12291" max="12291" width="10.7109375" style="118" customWidth="1"/>
    <col min="12292" max="12292" width="15.7109375" style="118" customWidth="1"/>
    <col min="12293" max="12294" width="13.42578125" style="118" customWidth="1"/>
    <col min="12295" max="12295" width="17.85546875" style="118" customWidth="1"/>
    <col min="12296" max="12296" width="16" style="118" customWidth="1"/>
    <col min="12297" max="12297" width="43.42578125" style="118" customWidth="1"/>
    <col min="12298" max="12545" width="9.140625" style="118"/>
    <col min="12546" max="12546" width="7" style="118" customWidth="1"/>
    <col min="12547" max="12547" width="10.7109375" style="118" customWidth="1"/>
    <col min="12548" max="12548" width="15.7109375" style="118" customWidth="1"/>
    <col min="12549" max="12550" width="13.42578125" style="118" customWidth="1"/>
    <col min="12551" max="12551" width="17.85546875" style="118" customWidth="1"/>
    <col min="12552" max="12552" width="16" style="118" customWidth="1"/>
    <col min="12553" max="12553" width="43.42578125" style="118" customWidth="1"/>
    <col min="12554" max="12801" width="9.140625" style="118"/>
    <col min="12802" max="12802" width="7" style="118" customWidth="1"/>
    <col min="12803" max="12803" width="10.7109375" style="118" customWidth="1"/>
    <col min="12804" max="12804" width="15.7109375" style="118" customWidth="1"/>
    <col min="12805" max="12806" width="13.42578125" style="118" customWidth="1"/>
    <col min="12807" max="12807" width="17.85546875" style="118" customWidth="1"/>
    <col min="12808" max="12808" width="16" style="118" customWidth="1"/>
    <col min="12809" max="12809" width="43.42578125" style="118" customWidth="1"/>
    <col min="12810" max="13057" width="9.140625" style="118"/>
    <col min="13058" max="13058" width="7" style="118" customWidth="1"/>
    <col min="13059" max="13059" width="10.7109375" style="118" customWidth="1"/>
    <col min="13060" max="13060" width="15.7109375" style="118" customWidth="1"/>
    <col min="13061" max="13062" width="13.42578125" style="118" customWidth="1"/>
    <col min="13063" max="13063" width="17.85546875" style="118" customWidth="1"/>
    <col min="13064" max="13064" width="16" style="118" customWidth="1"/>
    <col min="13065" max="13065" width="43.42578125" style="118" customWidth="1"/>
    <col min="13066" max="13313" width="9.140625" style="118"/>
    <col min="13314" max="13314" width="7" style="118" customWidth="1"/>
    <col min="13315" max="13315" width="10.7109375" style="118" customWidth="1"/>
    <col min="13316" max="13316" width="15.7109375" style="118" customWidth="1"/>
    <col min="13317" max="13318" width="13.42578125" style="118" customWidth="1"/>
    <col min="13319" max="13319" width="17.85546875" style="118" customWidth="1"/>
    <col min="13320" max="13320" width="16" style="118" customWidth="1"/>
    <col min="13321" max="13321" width="43.42578125" style="118" customWidth="1"/>
    <col min="13322" max="13569" width="9.140625" style="118"/>
    <col min="13570" max="13570" width="7" style="118" customWidth="1"/>
    <col min="13571" max="13571" width="10.7109375" style="118" customWidth="1"/>
    <col min="13572" max="13572" width="15.7109375" style="118" customWidth="1"/>
    <col min="13573" max="13574" width="13.42578125" style="118" customWidth="1"/>
    <col min="13575" max="13575" width="17.85546875" style="118" customWidth="1"/>
    <col min="13576" max="13576" width="16" style="118" customWidth="1"/>
    <col min="13577" max="13577" width="43.42578125" style="118" customWidth="1"/>
    <col min="13578" max="13825" width="9.140625" style="118"/>
    <col min="13826" max="13826" width="7" style="118" customWidth="1"/>
    <col min="13827" max="13827" width="10.7109375" style="118" customWidth="1"/>
    <col min="13828" max="13828" width="15.7109375" style="118" customWidth="1"/>
    <col min="13829" max="13830" width="13.42578125" style="118" customWidth="1"/>
    <col min="13831" max="13831" width="17.85546875" style="118" customWidth="1"/>
    <col min="13832" max="13832" width="16" style="118" customWidth="1"/>
    <col min="13833" max="13833" width="43.42578125" style="118" customWidth="1"/>
    <col min="13834" max="14081" width="9.140625" style="118"/>
    <col min="14082" max="14082" width="7" style="118" customWidth="1"/>
    <col min="14083" max="14083" width="10.7109375" style="118" customWidth="1"/>
    <col min="14084" max="14084" width="15.7109375" style="118" customWidth="1"/>
    <col min="14085" max="14086" width="13.42578125" style="118" customWidth="1"/>
    <col min="14087" max="14087" width="17.85546875" style="118" customWidth="1"/>
    <col min="14088" max="14088" width="16" style="118" customWidth="1"/>
    <col min="14089" max="14089" width="43.42578125" style="118" customWidth="1"/>
    <col min="14090" max="14337" width="9.140625" style="118"/>
    <col min="14338" max="14338" width="7" style="118" customWidth="1"/>
    <col min="14339" max="14339" width="10.7109375" style="118" customWidth="1"/>
    <col min="14340" max="14340" width="15.7109375" style="118" customWidth="1"/>
    <col min="14341" max="14342" width="13.42578125" style="118" customWidth="1"/>
    <col min="14343" max="14343" width="17.85546875" style="118" customWidth="1"/>
    <col min="14344" max="14344" width="16" style="118" customWidth="1"/>
    <col min="14345" max="14345" width="43.42578125" style="118" customWidth="1"/>
    <col min="14346" max="14593" width="9.140625" style="118"/>
    <col min="14594" max="14594" width="7" style="118" customWidth="1"/>
    <col min="14595" max="14595" width="10.7109375" style="118" customWidth="1"/>
    <col min="14596" max="14596" width="15.7109375" style="118" customWidth="1"/>
    <col min="14597" max="14598" width="13.42578125" style="118" customWidth="1"/>
    <col min="14599" max="14599" width="17.85546875" style="118" customWidth="1"/>
    <col min="14600" max="14600" width="16" style="118" customWidth="1"/>
    <col min="14601" max="14601" width="43.42578125" style="118" customWidth="1"/>
    <col min="14602" max="14849" width="9.140625" style="118"/>
    <col min="14850" max="14850" width="7" style="118" customWidth="1"/>
    <col min="14851" max="14851" width="10.7109375" style="118" customWidth="1"/>
    <col min="14852" max="14852" width="15.7109375" style="118" customWidth="1"/>
    <col min="14853" max="14854" width="13.42578125" style="118" customWidth="1"/>
    <col min="14855" max="14855" width="17.85546875" style="118" customWidth="1"/>
    <col min="14856" max="14856" width="16" style="118" customWidth="1"/>
    <col min="14857" max="14857" width="43.42578125" style="118" customWidth="1"/>
    <col min="14858" max="15105" width="9.140625" style="118"/>
    <col min="15106" max="15106" width="7" style="118" customWidth="1"/>
    <col min="15107" max="15107" width="10.7109375" style="118" customWidth="1"/>
    <col min="15108" max="15108" width="15.7109375" style="118" customWidth="1"/>
    <col min="15109" max="15110" width="13.42578125" style="118" customWidth="1"/>
    <col min="15111" max="15111" width="17.85546875" style="118" customWidth="1"/>
    <col min="15112" max="15112" width="16" style="118" customWidth="1"/>
    <col min="15113" max="15113" width="43.42578125" style="118" customWidth="1"/>
    <col min="15114" max="15361" width="9.140625" style="118"/>
    <col min="15362" max="15362" width="7" style="118" customWidth="1"/>
    <col min="15363" max="15363" width="10.7109375" style="118" customWidth="1"/>
    <col min="15364" max="15364" width="15.7109375" style="118" customWidth="1"/>
    <col min="15365" max="15366" width="13.42578125" style="118" customWidth="1"/>
    <col min="15367" max="15367" width="17.85546875" style="118" customWidth="1"/>
    <col min="15368" max="15368" width="16" style="118" customWidth="1"/>
    <col min="15369" max="15369" width="43.42578125" style="118" customWidth="1"/>
    <col min="15370" max="15617" width="9.140625" style="118"/>
    <col min="15618" max="15618" width="7" style="118" customWidth="1"/>
    <col min="15619" max="15619" width="10.7109375" style="118" customWidth="1"/>
    <col min="15620" max="15620" width="15.7109375" style="118" customWidth="1"/>
    <col min="15621" max="15622" width="13.42578125" style="118" customWidth="1"/>
    <col min="15623" max="15623" width="17.85546875" style="118" customWidth="1"/>
    <col min="15624" max="15624" width="16" style="118" customWidth="1"/>
    <col min="15625" max="15625" width="43.42578125" style="118" customWidth="1"/>
    <col min="15626" max="15873" width="9.140625" style="118"/>
    <col min="15874" max="15874" width="7" style="118" customWidth="1"/>
    <col min="15875" max="15875" width="10.7109375" style="118" customWidth="1"/>
    <col min="15876" max="15876" width="15.7109375" style="118" customWidth="1"/>
    <col min="15877" max="15878" width="13.42578125" style="118" customWidth="1"/>
    <col min="15879" max="15879" width="17.85546875" style="118" customWidth="1"/>
    <col min="15880" max="15880" width="16" style="118" customWidth="1"/>
    <col min="15881" max="15881" width="43.42578125" style="118" customWidth="1"/>
    <col min="15882" max="16129" width="9.140625" style="118"/>
    <col min="16130" max="16130" width="7" style="118" customWidth="1"/>
    <col min="16131" max="16131" width="10.7109375" style="118" customWidth="1"/>
    <col min="16132" max="16132" width="15.7109375" style="118" customWidth="1"/>
    <col min="16133" max="16134" width="13.42578125" style="118" customWidth="1"/>
    <col min="16135" max="16135" width="17.85546875" style="118" customWidth="1"/>
    <col min="16136" max="16136" width="16" style="118" customWidth="1"/>
    <col min="16137" max="16137" width="43.42578125" style="118" customWidth="1"/>
    <col min="16138" max="16384" width="9.140625" style="118"/>
  </cols>
  <sheetData>
    <row r="1" spans="1:10" ht="63.75" customHeight="1">
      <c r="A1" s="1"/>
      <c r="B1" s="1"/>
      <c r="C1" s="194"/>
      <c r="D1" s="194"/>
      <c r="E1" s="195"/>
      <c r="F1" s="195"/>
      <c r="G1" s="195"/>
      <c r="H1" s="3895" t="s">
        <v>1455</v>
      </c>
      <c r="I1" s="3895"/>
    </row>
    <row r="2" spans="1:10" ht="50.25" customHeight="1">
      <c r="A2" s="4099" t="s">
        <v>127</v>
      </c>
      <c r="B2" s="4099"/>
      <c r="C2" s="4099"/>
      <c r="D2" s="4099"/>
      <c r="E2" s="4099"/>
      <c r="F2" s="4099"/>
      <c r="G2" s="4099"/>
      <c r="H2" s="4099"/>
      <c r="I2" s="4099"/>
    </row>
    <row r="3" spans="1:10" ht="15.75" thickBot="1">
      <c r="A3" s="115"/>
      <c r="B3" s="115"/>
      <c r="C3" s="115"/>
      <c r="D3" s="115"/>
      <c r="E3" s="115"/>
      <c r="F3" s="115"/>
      <c r="G3" s="115"/>
      <c r="H3" s="115"/>
      <c r="I3" s="197" t="s">
        <v>5</v>
      </c>
    </row>
    <row r="4" spans="1:10" ht="24.75" customHeight="1" thickBot="1">
      <c r="A4" s="4100" t="s">
        <v>0</v>
      </c>
      <c r="B4" s="4102" t="s">
        <v>30</v>
      </c>
      <c r="C4" s="4104" t="s">
        <v>31</v>
      </c>
      <c r="D4" s="4106" t="s">
        <v>2</v>
      </c>
      <c r="E4" s="4108" t="s">
        <v>128</v>
      </c>
      <c r="F4" s="4110" t="s">
        <v>129</v>
      </c>
      <c r="G4" s="4111"/>
      <c r="H4" s="4106" t="s">
        <v>130</v>
      </c>
      <c r="I4" s="4100" t="s">
        <v>131</v>
      </c>
    </row>
    <row r="5" spans="1:10" ht="15" customHeight="1" thickBot="1">
      <c r="A5" s="4100"/>
      <c r="B5" s="4102"/>
      <c r="C5" s="4104"/>
      <c r="D5" s="4106"/>
      <c r="E5" s="4108"/>
      <c r="F5" s="4089" t="s">
        <v>132</v>
      </c>
      <c r="G5" s="4091" t="s">
        <v>88</v>
      </c>
      <c r="H5" s="4106"/>
      <c r="I5" s="4100"/>
    </row>
    <row r="6" spans="1:10" ht="15" customHeight="1" thickBot="1">
      <c r="A6" s="4101"/>
      <c r="B6" s="4103"/>
      <c r="C6" s="4105"/>
      <c r="D6" s="4107"/>
      <c r="E6" s="4109"/>
      <c r="F6" s="4090"/>
      <c r="G6" s="4092"/>
      <c r="H6" s="4107"/>
      <c r="I6" s="4101"/>
    </row>
    <row r="7" spans="1:10" s="204" customFormat="1" ht="32.25" customHeight="1" thickBot="1">
      <c r="A7" s="4064" t="s">
        <v>33</v>
      </c>
      <c r="B7" s="4093" t="s">
        <v>8</v>
      </c>
      <c r="C7" s="4094"/>
      <c r="D7" s="198"/>
      <c r="E7" s="199">
        <f>SUM(E8:E10)</f>
        <v>2365716</v>
      </c>
      <c r="F7" s="198">
        <f>SUM(F8:F10)</f>
        <v>50000</v>
      </c>
      <c r="G7" s="200">
        <f>SUM(G8:G10)</f>
        <v>2315716</v>
      </c>
      <c r="H7" s="201"/>
      <c r="I7" s="202"/>
      <c r="J7" s="203"/>
    </row>
    <row r="8" spans="1:10" s="212" customFormat="1" ht="60" customHeight="1">
      <c r="A8" s="4073"/>
      <c r="B8" s="205">
        <v>60004</v>
      </c>
      <c r="C8" s="206" t="s">
        <v>133</v>
      </c>
      <c r="D8" s="207">
        <v>2710</v>
      </c>
      <c r="E8" s="208">
        <f>SUM(F8:G8)</f>
        <v>50000</v>
      </c>
      <c r="F8" s="208">
        <v>50000</v>
      </c>
      <c r="G8" s="209">
        <v>0</v>
      </c>
      <c r="H8" s="210" t="s">
        <v>134</v>
      </c>
      <c r="I8" s="211" t="s">
        <v>135</v>
      </c>
    </row>
    <row r="9" spans="1:10" ht="92.25" customHeight="1">
      <c r="A9" s="4073"/>
      <c r="B9" s="213" t="s">
        <v>136</v>
      </c>
      <c r="C9" s="214" t="s">
        <v>137</v>
      </c>
      <c r="D9" s="4095">
        <v>6300</v>
      </c>
      <c r="E9" s="215">
        <f>SUM(F9:G9)</f>
        <v>1315716</v>
      </c>
      <c r="F9" s="216">
        <v>0</v>
      </c>
      <c r="G9" s="217">
        <v>1315716</v>
      </c>
      <c r="H9" s="218" t="s">
        <v>138</v>
      </c>
      <c r="I9" s="219" t="s">
        <v>139</v>
      </c>
    </row>
    <row r="10" spans="1:10" ht="60.75" customHeight="1" thickBot="1">
      <c r="A10" s="4065"/>
      <c r="B10" s="220" t="s">
        <v>140</v>
      </c>
      <c r="C10" s="221" t="s">
        <v>141</v>
      </c>
      <c r="D10" s="4096"/>
      <c r="E10" s="222">
        <f>SUM(F10:G10)</f>
        <v>1000000</v>
      </c>
      <c r="F10" s="223">
        <v>0</v>
      </c>
      <c r="G10" s="224">
        <v>1000000</v>
      </c>
      <c r="H10" s="225" t="s">
        <v>142</v>
      </c>
      <c r="I10" s="226" t="s">
        <v>143</v>
      </c>
    </row>
    <row r="11" spans="1:10" s="232" customFormat="1" ht="25.5" customHeight="1" thickBot="1">
      <c r="A11" s="4064" t="s">
        <v>124</v>
      </c>
      <c r="B11" s="4097" t="s">
        <v>144</v>
      </c>
      <c r="C11" s="4098"/>
      <c r="D11" s="227"/>
      <c r="E11" s="228">
        <f>SUM(E12)</f>
        <v>15000000</v>
      </c>
      <c r="F11" s="229">
        <f t="shared" ref="F11:G11" si="0">SUM(F12)</f>
        <v>0</v>
      </c>
      <c r="G11" s="228">
        <f t="shared" si="0"/>
        <v>15000000</v>
      </c>
      <c r="H11" s="230"/>
      <c r="I11" s="231"/>
    </row>
    <row r="12" spans="1:10" s="204" customFormat="1" ht="73.5" customHeight="1" thickBot="1">
      <c r="A12" s="4065"/>
      <c r="B12" s="233" t="s">
        <v>145</v>
      </c>
      <c r="C12" s="234" t="s">
        <v>146</v>
      </c>
      <c r="D12" s="235">
        <v>6300</v>
      </c>
      <c r="E12" s="224">
        <f>SUM(F12:G12)</f>
        <v>15000000</v>
      </c>
      <c r="F12" s="236">
        <v>0</v>
      </c>
      <c r="G12" s="237">
        <v>15000000</v>
      </c>
      <c r="H12" s="238" t="s">
        <v>147</v>
      </c>
      <c r="I12" s="239" t="s">
        <v>148</v>
      </c>
    </row>
    <row r="13" spans="1:10" s="204" customFormat="1" ht="30" customHeight="1" thickBot="1">
      <c r="A13" s="4087" t="s">
        <v>68</v>
      </c>
      <c r="B13" s="4087"/>
      <c r="C13" s="4088"/>
      <c r="D13" s="240"/>
      <c r="E13" s="241">
        <f>E7+E11</f>
        <v>17365716</v>
      </c>
      <c r="F13" s="241">
        <f>F7+F11</f>
        <v>50000</v>
      </c>
      <c r="G13" s="241">
        <f>G7+G11</f>
        <v>17315716</v>
      </c>
      <c r="H13" s="240"/>
      <c r="I13" s="242"/>
    </row>
    <row r="14" spans="1:10">
      <c r="A14" s="243"/>
      <c r="B14" s="243"/>
      <c r="C14" s="243"/>
      <c r="D14" s="243"/>
      <c r="E14" s="243"/>
      <c r="F14" s="243"/>
      <c r="G14" s="243"/>
      <c r="H14" s="243"/>
      <c r="I14" s="243"/>
    </row>
    <row r="26" spans="4:4">
      <c r="D26" s="204"/>
    </row>
    <row r="535" spans="17:17">
      <c r="Q535" s="118">
        <f>P535-O535</f>
        <v>0</v>
      </c>
    </row>
  </sheetData>
  <mergeCells count="18"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  <mergeCell ref="A13:C13"/>
    <mergeCell ref="F5:F6"/>
    <mergeCell ref="G5:G6"/>
    <mergeCell ref="A7:A10"/>
    <mergeCell ref="B7:C7"/>
    <mergeCell ref="D9:D10"/>
    <mergeCell ref="A11:A12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Q536"/>
  <sheetViews>
    <sheetView view="pageBreakPreview" topLeftCell="A13" zoomScaleNormal="100" zoomScaleSheetLayoutView="100" workbookViewId="0">
      <selection activeCell="M4" sqref="M4"/>
    </sheetView>
  </sheetViews>
  <sheetFormatPr defaultRowHeight="12.75"/>
  <cols>
    <col min="1" max="1" width="8.28515625" style="118" customWidth="1"/>
    <col min="2" max="2" width="10.5703125" style="118" customWidth="1"/>
    <col min="3" max="3" width="15.140625" style="118" customWidth="1"/>
    <col min="4" max="4" width="12.28515625" style="118" customWidth="1"/>
    <col min="5" max="6" width="12" style="118" customWidth="1"/>
    <col min="7" max="7" width="13.85546875" style="118" customWidth="1"/>
    <col min="8" max="8" width="15.28515625" style="118" customWidth="1"/>
    <col min="9" max="9" width="51.5703125" style="118" customWidth="1"/>
    <col min="10" max="257" width="9.140625" style="118"/>
    <col min="258" max="258" width="8.28515625" style="118" customWidth="1"/>
    <col min="259" max="259" width="10.5703125" style="118" customWidth="1"/>
    <col min="260" max="260" width="15.140625" style="118" customWidth="1"/>
    <col min="261" max="262" width="12" style="118" customWidth="1"/>
    <col min="263" max="264" width="13.85546875" style="118" customWidth="1"/>
    <col min="265" max="265" width="51.5703125" style="118" customWidth="1"/>
    <col min="266" max="513" width="9.140625" style="118"/>
    <col min="514" max="514" width="8.28515625" style="118" customWidth="1"/>
    <col min="515" max="515" width="10.5703125" style="118" customWidth="1"/>
    <col min="516" max="516" width="15.140625" style="118" customWidth="1"/>
    <col min="517" max="518" width="12" style="118" customWidth="1"/>
    <col min="519" max="520" width="13.85546875" style="118" customWidth="1"/>
    <col min="521" max="521" width="51.5703125" style="118" customWidth="1"/>
    <col min="522" max="769" width="9.140625" style="118"/>
    <col min="770" max="770" width="8.28515625" style="118" customWidth="1"/>
    <col min="771" max="771" width="10.5703125" style="118" customWidth="1"/>
    <col min="772" max="772" width="15.140625" style="118" customWidth="1"/>
    <col min="773" max="774" width="12" style="118" customWidth="1"/>
    <col min="775" max="776" width="13.85546875" style="118" customWidth="1"/>
    <col min="777" max="777" width="51.5703125" style="118" customWidth="1"/>
    <col min="778" max="1025" width="9.140625" style="118"/>
    <col min="1026" max="1026" width="8.28515625" style="118" customWidth="1"/>
    <col min="1027" max="1027" width="10.5703125" style="118" customWidth="1"/>
    <col min="1028" max="1028" width="15.140625" style="118" customWidth="1"/>
    <col min="1029" max="1030" width="12" style="118" customWidth="1"/>
    <col min="1031" max="1032" width="13.85546875" style="118" customWidth="1"/>
    <col min="1033" max="1033" width="51.5703125" style="118" customWidth="1"/>
    <col min="1034" max="1281" width="9.140625" style="118"/>
    <col min="1282" max="1282" width="8.28515625" style="118" customWidth="1"/>
    <col min="1283" max="1283" width="10.5703125" style="118" customWidth="1"/>
    <col min="1284" max="1284" width="15.140625" style="118" customWidth="1"/>
    <col min="1285" max="1286" width="12" style="118" customWidth="1"/>
    <col min="1287" max="1288" width="13.85546875" style="118" customWidth="1"/>
    <col min="1289" max="1289" width="51.5703125" style="118" customWidth="1"/>
    <col min="1290" max="1537" width="9.140625" style="118"/>
    <col min="1538" max="1538" width="8.28515625" style="118" customWidth="1"/>
    <col min="1539" max="1539" width="10.5703125" style="118" customWidth="1"/>
    <col min="1540" max="1540" width="15.140625" style="118" customWidth="1"/>
    <col min="1541" max="1542" width="12" style="118" customWidth="1"/>
    <col min="1543" max="1544" width="13.85546875" style="118" customWidth="1"/>
    <col min="1545" max="1545" width="51.5703125" style="118" customWidth="1"/>
    <col min="1546" max="1793" width="9.140625" style="118"/>
    <col min="1794" max="1794" width="8.28515625" style="118" customWidth="1"/>
    <col min="1795" max="1795" width="10.5703125" style="118" customWidth="1"/>
    <col min="1796" max="1796" width="15.140625" style="118" customWidth="1"/>
    <col min="1797" max="1798" width="12" style="118" customWidth="1"/>
    <col min="1799" max="1800" width="13.85546875" style="118" customWidth="1"/>
    <col min="1801" max="1801" width="51.5703125" style="118" customWidth="1"/>
    <col min="1802" max="2049" width="9.140625" style="118"/>
    <col min="2050" max="2050" width="8.28515625" style="118" customWidth="1"/>
    <col min="2051" max="2051" width="10.5703125" style="118" customWidth="1"/>
    <col min="2052" max="2052" width="15.140625" style="118" customWidth="1"/>
    <col min="2053" max="2054" width="12" style="118" customWidth="1"/>
    <col min="2055" max="2056" width="13.85546875" style="118" customWidth="1"/>
    <col min="2057" max="2057" width="51.5703125" style="118" customWidth="1"/>
    <col min="2058" max="2305" width="9.140625" style="118"/>
    <col min="2306" max="2306" width="8.28515625" style="118" customWidth="1"/>
    <col min="2307" max="2307" width="10.5703125" style="118" customWidth="1"/>
    <col min="2308" max="2308" width="15.140625" style="118" customWidth="1"/>
    <col min="2309" max="2310" width="12" style="118" customWidth="1"/>
    <col min="2311" max="2312" width="13.85546875" style="118" customWidth="1"/>
    <col min="2313" max="2313" width="51.5703125" style="118" customWidth="1"/>
    <col min="2314" max="2561" width="9.140625" style="118"/>
    <col min="2562" max="2562" width="8.28515625" style="118" customWidth="1"/>
    <col min="2563" max="2563" width="10.5703125" style="118" customWidth="1"/>
    <col min="2564" max="2564" width="15.140625" style="118" customWidth="1"/>
    <col min="2565" max="2566" width="12" style="118" customWidth="1"/>
    <col min="2567" max="2568" width="13.85546875" style="118" customWidth="1"/>
    <col min="2569" max="2569" width="51.5703125" style="118" customWidth="1"/>
    <col min="2570" max="2817" width="9.140625" style="118"/>
    <col min="2818" max="2818" width="8.28515625" style="118" customWidth="1"/>
    <col min="2819" max="2819" width="10.5703125" style="118" customWidth="1"/>
    <col min="2820" max="2820" width="15.140625" style="118" customWidth="1"/>
    <col min="2821" max="2822" width="12" style="118" customWidth="1"/>
    <col min="2823" max="2824" width="13.85546875" style="118" customWidth="1"/>
    <col min="2825" max="2825" width="51.5703125" style="118" customWidth="1"/>
    <col min="2826" max="3073" width="9.140625" style="118"/>
    <col min="3074" max="3074" width="8.28515625" style="118" customWidth="1"/>
    <col min="3075" max="3075" width="10.5703125" style="118" customWidth="1"/>
    <col min="3076" max="3076" width="15.140625" style="118" customWidth="1"/>
    <col min="3077" max="3078" width="12" style="118" customWidth="1"/>
    <col min="3079" max="3080" width="13.85546875" style="118" customWidth="1"/>
    <col min="3081" max="3081" width="51.5703125" style="118" customWidth="1"/>
    <col min="3082" max="3329" width="9.140625" style="118"/>
    <col min="3330" max="3330" width="8.28515625" style="118" customWidth="1"/>
    <col min="3331" max="3331" width="10.5703125" style="118" customWidth="1"/>
    <col min="3332" max="3332" width="15.140625" style="118" customWidth="1"/>
    <col min="3333" max="3334" width="12" style="118" customWidth="1"/>
    <col min="3335" max="3336" width="13.85546875" style="118" customWidth="1"/>
    <col min="3337" max="3337" width="51.5703125" style="118" customWidth="1"/>
    <col min="3338" max="3585" width="9.140625" style="118"/>
    <col min="3586" max="3586" width="8.28515625" style="118" customWidth="1"/>
    <col min="3587" max="3587" width="10.5703125" style="118" customWidth="1"/>
    <col min="3588" max="3588" width="15.140625" style="118" customWidth="1"/>
    <col min="3589" max="3590" width="12" style="118" customWidth="1"/>
    <col min="3591" max="3592" width="13.85546875" style="118" customWidth="1"/>
    <col min="3593" max="3593" width="51.5703125" style="118" customWidth="1"/>
    <col min="3594" max="3841" width="9.140625" style="118"/>
    <col min="3842" max="3842" width="8.28515625" style="118" customWidth="1"/>
    <col min="3843" max="3843" width="10.5703125" style="118" customWidth="1"/>
    <col min="3844" max="3844" width="15.140625" style="118" customWidth="1"/>
    <col min="3845" max="3846" width="12" style="118" customWidth="1"/>
    <col min="3847" max="3848" width="13.85546875" style="118" customWidth="1"/>
    <col min="3849" max="3849" width="51.5703125" style="118" customWidth="1"/>
    <col min="3850" max="4097" width="9.140625" style="118"/>
    <col min="4098" max="4098" width="8.28515625" style="118" customWidth="1"/>
    <col min="4099" max="4099" width="10.5703125" style="118" customWidth="1"/>
    <col min="4100" max="4100" width="15.140625" style="118" customWidth="1"/>
    <col min="4101" max="4102" width="12" style="118" customWidth="1"/>
    <col min="4103" max="4104" width="13.85546875" style="118" customWidth="1"/>
    <col min="4105" max="4105" width="51.5703125" style="118" customWidth="1"/>
    <col min="4106" max="4353" width="9.140625" style="118"/>
    <col min="4354" max="4354" width="8.28515625" style="118" customWidth="1"/>
    <col min="4355" max="4355" width="10.5703125" style="118" customWidth="1"/>
    <col min="4356" max="4356" width="15.140625" style="118" customWidth="1"/>
    <col min="4357" max="4358" width="12" style="118" customWidth="1"/>
    <col min="4359" max="4360" width="13.85546875" style="118" customWidth="1"/>
    <col min="4361" max="4361" width="51.5703125" style="118" customWidth="1"/>
    <col min="4362" max="4609" width="9.140625" style="118"/>
    <col min="4610" max="4610" width="8.28515625" style="118" customWidth="1"/>
    <col min="4611" max="4611" width="10.5703125" style="118" customWidth="1"/>
    <col min="4612" max="4612" width="15.140625" style="118" customWidth="1"/>
    <col min="4613" max="4614" width="12" style="118" customWidth="1"/>
    <col min="4615" max="4616" width="13.85546875" style="118" customWidth="1"/>
    <col min="4617" max="4617" width="51.5703125" style="118" customWidth="1"/>
    <col min="4618" max="4865" width="9.140625" style="118"/>
    <col min="4866" max="4866" width="8.28515625" style="118" customWidth="1"/>
    <col min="4867" max="4867" width="10.5703125" style="118" customWidth="1"/>
    <col min="4868" max="4868" width="15.140625" style="118" customWidth="1"/>
    <col min="4869" max="4870" width="12" style="118" customWidth="1"/>
    <col min="4871" max="4872" width="13.85546875" style="118" customWidth="1"/>
    <col min="4873" max="4873" width="51.5703125" style="118" customWidth="1"/>
    <col min="4874" max="5121" width="9.140625" style="118"/>
    <col min="5122" max="5122" width="8.28515625" style="118" customWidth="1"/>
    <col min="5123" max="5123" width="10.5703125" style="118" customWidth="1"/>
    <col min="5124" max="5124" width="15.140625" style="118" customWidth="1"/>
    <col min="5125" max="5126" width="12" style="118" customWidth="1"/>
    <col min="5127" max="5128" width="13.85546875" style="118" customWidth="1"/>
    <col min="5129" max="5129" width="51.5703125" style="118" customWidth="1"/>
    <col min="5130" max="5377" width="9.140625" style="118"/>
    <col min="5378" max="5378" width="8.28515625" style="118" customWidth="1"/>
    <col min="5379" max="5379" width="10.5703125" style="118" customWidth="1"/>
    <col min="5380" max="5380" width="15.140625" style="118" customWidth="1"/>
    <col min="5381" max="5382" width="12" style="118" customWidth="1"/>
    <col min="5383" max="5384" width="13.85546875" style="118" customWidth="1"/>
    <col min="5385" max="5385" width="51.5703125" style="118" customWidth="1"/>
    <col min="5386" max="5633" width="9.140625" style="118"/>
    <col min="5634" max="5634" width="8.28515625" style="118" customWidth="1"/>
    <col min="5635" max="5635" width="10.5703125" style="118" customWidth="1"/>
    <col min="5636" max="5636" width="15.140625" style="118" customWidth="1"/>
    <col min="5637" max="5638" width="12" style="118" customWidth="1"/>
    <col min="5639" max="5640" width="13.85546875" style="118" customWidth="1"/>
    <col min="5641" max="5641" width="51.5703125" style="118" customWidth="1"/>
    <col min="5642" max="5889" width="9.140625" style="118"/>
    <col min="5890" max="5890" width="8.28515625" style="118" customWidth="1"/>
    <col min="5891" max="5891" width="10.5703125" style="118" customWidth="1"/>
    <col min="5892" max="5892" width="15.140625" style="118" customWidth="1"/>
    <col min="5893" max="5894" width="12" style="118" customWidth="1"/>
    <col min="5895" max="5896" width="13.85546875" style="118" customWidth="1"/>
    <col min="5897" max="5897" width="51.5703125" style="118" customWidth="1"/>
    <col min="5898" max="6145" width="9.140625" style="118"/>
    <col min="6146" max="6146" width="8.28515625" style="118" customWidth="1"/>
    <col min="6147" max="6147" width="10.5703125" style="118" customWidth="1"/>
    <col min="6148" max="6148" width="15.140625" style="118" customWidth="1"/>
    <col min="6149" max="6150" width="12" style="118" customWidth="1"/>
    <col min="6151" max="6152" width="13.85546875" style="118" customWidth="1"/>
    <col min="6153" max="6153" width="51.5703125" style="118" customWidth="1"/>
    <col min="6154" max="6401" width="9.140625" style="118"/>
    <col min="6402" max="6402" width="8.28515625" style="118" customWidth="1"/>
    <col min="6403" max="6403" width="10.5703125" style="118" customWidth="1"/>
    <col min="6404" max="6404" width="15.140625" style="118" customWidth="1"/>
    <col min="6405" max="6406" width="12" style="118" customWidth="1"/>
    <col min="6407" max="6408" width="13.85546875" style="118" customWidth="1"/>
    <col min="6409" max="6409" width="51.5703125" style="118" customWidth="1"/>
    <col min="6410" max="6657" width="9.140625" style="118"/>
    <col min="6658" max="6658" width="8.28515625" style="118" customWidth="1"/>
    <col min="6659" max="6659" width="10.5703125" style="118" customWidth="1"/>
    <col min="6660" max="6660" width="15.140625" style="118" customWidth="1"/>
    <col min="6661" max="6662" width="12" style="118" customWidth="1"/>
    <col min="6663" max="6664" width="13.85546875" style="118" customWidth="1"/>
    <col min="6665" max="6665" width="51.5703125" style="118" customWidth="1"/>
    <col min="6666" max="6913" width="9.140625" style="118"/>
    <col min="6914" max="6914" width="8.28515625" style="118" customWidth="1"/>
    <col min="6915" max="6915" width="10.5703125" style="118" customWidth="1"/>
    <col min="6916" max="6916" width="15.140625" style="118" customWidth="1"/>
    <col min="6917" max="6918" width="12" style="118" customWidth="1"/>
    <col min="6919" max="6920" width="13.85546875" style="118" customWidth="1"/>
    <col min="6921" max="6921" width="51.5703125" style="118" customWidth="1"/>
    <col min="6922" max="7169" width="9.140625" style="118"/>
    <col min="7170" max="7170" width="8.28515625" style="118" customWidth="1"/>
    <col min="7171" max="7171" width="10.5703125" style="118" customWidth="1"/>
    <col min="7172" max="7172" width="15.140625" style="118" customWidth="1"/>
    <col min="7173" max="7174" width="12" style="118" customWidth="1"/>
    <col min="7175" max="7176" width="13.85546875" style="118" customWidth="1"/>
    <col min="7177" max="7177" width="51.5703125" style="118" customWidth="1"/>
    <col min="7178" max="7425" width="9.140625" style="118"/>
    <col min="7426" max="7426" width="8.28515625" style="118" customWidth="1"/>
    <col min="7427" max="7427" width="10.5703125" style="118" customWidth="1"/>
    <col min="7428" max="7428" width="15.140625" style="118" customWidth="1"/>
    <col min="7429" max="7430" width="12" style="118" customWidth="1"/>
    <col min="7431" max="7432" width="13.85546875" style="118" customWidth="1"/>
    <col min="7433" max="7433" width="51.5703125" style="118" customWidth="1"/>
    <col min="7434" max="7681" width="9.140625" style="118"/>
    <col min="7682" max="7682" width="8.28515625" style="118" customWidth="1"/>
    <col min="7683" max="7683" width="10.5703125" style="118" customWidth="1"/>
    <col min="7684" max="7684" width="15.140625" style="118" customWidth="1"/>
    <col min="7685" max="7686" width="12" style="118" customWidth="1"/>
    <col min="7687" max="7688" width="13.85546875" style="118" customWidth="1"/>
    <col min="7689" max="7689" width="51.5703125" style="118" customWidth="1"/>
    <col min="7690" max="7937" width="9.140625" style="118"/>
    <col min="7938" max="7938" width="8.28515625" style="118" customWidth="1"/>
    <col min="7939" max="7939" width="10.5703125" style="118" customWidth="1"/>
    <col min="7940" max="7940" width="15.140625" style="118" customWidth="1"/>
    <col min="7941" max="7942" width="12" style="118" customWidth="1"/>
    <col min="7943" max="7944" width="13.85546875" style="118" customWidth="1"/>
    <col min="7945" max="7945" width="51.5703125" style="118" customWidth="1"/>
    <col min="7946" max="8193" width="9.140625" style="118"/>
    <col min="8194" max="8194" width="8.28515625" style="118" customWidth="1"/>
    <col min="8195" max="8195" width="10.5703125" style="118" customWidth="1"/>
    <col min="8196" max="8196" width="15.140625" style="118" customWidth="1"/>
    <col min="8197" max="8198" width="12" style="118" customWidth="1"/>
    <col min="8199" max="8200" width="13.85546875" style="118" customWidth="1"/>
    <col min="8201" max="8201" width="51.5703125" style="118" customWidth="1"/>
    <col min="8202" max="8449" width="9.140625" style="118"/>
    <col min="8450" max="8450" width="8.28515625" style="118" customWidth="1"/>
    <col min="8451" max="8451" width="10.5703125" style="118" customWidth="1"/>
    <col min="8452" max="8452" width="15.140625" style="118" customWidth="1"/>
    <col min="8453" max="8454" width="12" style="118" customWidth="1"/>
    <col min="8455" max="8456" width="13.85546875" style="118" customWidth="1"/>
    <col min="8457" max="8457" width="51.5703125" style="118" customWidth="1"/>
    <col min="8458" max="8705" width="9.140625" style="118"/>
    <col min="8706" max="8706" width="8.28515625" style="118" customWidth="1"/>
    <col min="8707" max="8707" width="10.5703125" style="118" customWidth="1"/>
    <col min="8708" max="8708" width="15.140625" style="118" customWidth="1"/>
    <col min="8709" max="8710" width="12" style="118" customWidth="1"/>
    <col min="8711" max="8712" width="13.85546875" style="118" customWidth="1"/>
    <col min="8713" max="8713" width="51.5703125" style="118" customWidth="1"/>
    <col min="8714" max="8961" width="9.140625" style="118"/>
    <col min="8962" max="8962" width="8.28515625" style="118" customWidth="1"/>
    <col min="8963" max="8963" width="10.5703125" style="118" customWidth="1"/>
    <col min="8964" max="8964" width="15.140625" style="118" customWidth="1"/>
    <col min="8965" max="8966" width="12" style="118" customWidth="1"/>
    <col min="8967" max="8968" width="13.85546875" style="118" customWidth="1"/>
    <col min="8969" max="8969" width="51.5703125" style="118" customWidth="1"/>
    <col min="8970" max="9217" width="9.140625" style="118"/>
    <col min="9218" max="9218" width="8.28515625" style="118" customWidth="1"/>
    <col min="9219" max="9219" width="10.5703125" style="118" customWidth="1"/>
    <col min="9220" max="9220" width="15.140625" style="118" customWidth="1"/>
    <col min="9221" max="9222" width="12" style="118" customWidth="1"/>
    <col min="9223" max="9224" width="13.85546875" style="118" customWidth="1"/>
    <col min="9225" max="9225" width="51.5703125" style="118" customWidth="1"/>
    <col min="9226" max="9473" width="9.140625" style="118"/>
    <col min="9474" max="9474" width="8.28515625" style="118" customWidth="1"/>
    <col min="9475" max="9475" width="10.5703125" style="118" customWidth="1"/>
    <col min="9476" max="9476" width="15.140625" style="118" customWidth="1"/>
    <col min="9477" max="9478" width="12" style="118" customWidth="1"/>
    <col min="9479" max="9480" width="13.85546875" style="118" customWidth="1"/>
    <col min="9481" max="9481" width="51.5703125" style="118" customWidth="1"/>
    <col min="9482" max="9729" width="9.140625" style="118"/>
    <col min="9730" max="9730" width="8.28515625" style="118" customWidth="1"/>
    <col min="9731" max="9731" width="10.5703125" style="118" customWidth="1"/>
    <col min="9732" max="9732" width="15.140625" style="118" customWidth="1"/>
    <col min="9733" max="9734" width="12" style="118" customWidth="1"/>
    <col min="9735" max="9736" width="13.85546875" style="118" customWidth="1"/>
    <col min="9737" max="9737" width="51.5703125" style="118" customWidth="1"/>
    <col min="9738" max="9985" width="9.140625" style="118"/>
    <col min="9986" max="9986" width="8.28515625" style="118" customWidth="1"/>
    <col min="9987" max="9987" width="10.5703125" style="118" customWidth="1"/>
    <col min="9988" max="9988" width="15.140625" style="118" customWidth="1"/>
    <col min="9989" max="9990" width="12" style="118" customWidth="1"/>
    <col min="9991" max="9992" width="13.85546875" style="118" customWidth="1"/>
    <col min="9993" max="9993" width="51.5703125" style="118" customWidth="1"/>
    <col min="9994" max="10241" width="9.140625" style="118"/>
    <col min="10242" max="10242" width="8.28515625" style="118" customWidth="1"/>
    <col min="10243" max="10243" width="10.5703125" style="118" customWidth="1"/>
    <col min="10244" max="10244" width="15.140625" style="118" customWidth="1"/>
    <col min="10245" max="10246" width="12" style="118" customWidth="1"/>
    <col min="10247" max="10248" width="13.85546875" style="118" customWidth="1"/>
    <col min="10249" max="10249" width="51.5703125" style="118" customWidth="1"/>
    <col min="10250" max="10497" width="9.140625" style="118"/>
    <col min="10498" max="10498" width="8.28515625" style="118" customWidth="1"/>
    <col min="10499" max="10499" width="10.5703125" style="118" customWidth="1"/>
    <col min="10500" max="10500" width="15.140625" style="118" customWidth="1"/>
    <col min="10501" max="10502" width="12" style="118" customWidth="1"/>
    <col min="10503" max="10504" width="13.85546875" style="118" customWidth="1"/>
    <col min="10505" max="10505" width="51.5703125" style="118" customWidth="1"/>
    <col min="10506" max="10753" width="9.140625" style="118"/>
    <col min="10754" max="10754" width="8.28515625" style="118" customWidth="1"/>
    <col min="10755" max="10755" width="10.5703125" style="118" customWidth="1"/>
    <col min="10756" max="10756" width="15.140625" style="118" customWidth="1"/>
    <col min="10757" max="10758" width="12" style="118" customWidth="1"/>
    <col min="10759" max="10760" width="13.85546875" style="118" customWidth="1"/>
    <col min="10761" max="10761" width="51.5703125" style="118" customWidth="1"/>
    <col min="10762" max="11009" width="9.140625" style="118"/>
    <col min="11010" max="11010" width="8.28515625" style="118" customWidth="1"/>
    <col min="11011" max="11011" width="10.5703125" style="118" customWidth="1"/>
    <col min="11012" max="11012" width="15.140625" style="118" customWidth="1"/>
    <col min="11013" max="11014" width="12" style="118" customWidth="1"/>
    <col min="11015" max="11016" width="13.85546875" style="118" customWidth="1"/>
    <col min="11017" max="11017" width="51.5703125" style="118" customWidth="1"/>
    <col min="11018" max="11265" width="9.140625" style="118"/>
    <col min="11266" max="11266" width="8.28515625" style="118" customWidth="1"/>
    <col min="11267" max="11267" width="10.5703125" style="118" customWidth="1"/>
    <col min="11268" max="11268" width="15.140625" style="118" customWidth="1"/>
    <col min="11269" max="11270" width="12" style="118" customWidth="1"/>
    <col min="11271" max="11272" width="13.85546875" style="118" customWidth="1"/>
    <col min="11273" max="11273" width="51.5703125" style="118" customWidth="1"/>
    <col min="11274" max="11521" width="9.140625" style="118"/>
    <col min="11522" max="11522" width="8.28515625" style="118" customWidth="1"/>
    <col min="11523" max="11523" width="10.5703125" style="118" customWidth="1"/>
    <col min="11524" max="11524" width="15.140625" style="118" customWidth="1"/>
    <col min="11525" max="11526" width="12" style="118" customWidth="1"/>
    <col min="11527" max="11528" width="13.85546875" style="118" customWidth="1"/>
    <col min="11529" max="11529" width="51.5703125" style="118" customWidth="1"/>
    <col min="11530" max="11777" width="9.140625" style="118"/>
    <col min="11778" max="11778" width="8.28515625" style="118" customWidth="1"/>
    <col min="11779" max="11779" width="10.5703125" style="118" customWidth="1"/>
    <col min="11780" max="11780" width="15.140625" style="118" customWidth="1"/>
    <col min="11781" max="11782" width="12" style="118" customWidth="1"/>
    <col min="11783" max="11784" width="13.85546875" style="118" customWidth="1"/>
    <col min="11785" max="11785" width="51.5703125" style="118" customWidth="1"/>
    <col min="11786" max="12033" width="9.140625" style="118"/>
    <col min="12034" max="12034" width="8.28515625" style="118" customWidth="1"/>
    <col min="12035" max="12035" width="10.5703125" style="118" customWidth="1"/>
    <col min="12036" max="12036" width="15.140625" style="118" customWidth="1"/>
    <col min="12037" max="12038" width="12" style="118" customWidth="1"/>
    <col min="12039" max="12040" width="13.85546875" style="118" customWidth="1"/>
    <col min="12041" max="12041" width="51.5703125" style="118" customWidth="1"/>
    <col min="12042" max="12289" width="9.140625" style="118"/>
    <col min="12290" max="12290" width="8.28515625" style="118" customWidth="1"/>
    <col min="12291" max="12291" width="10.5703125" style="118" customWidth="1"/>
    <col min="12292" max="12292" width="15.140625" style="118" customWidth="1"/>
    <col min="12293" max="12294" width="12" style="118" customWidth="1"/>
    <col min="12295" max="12296" width="13.85546875" style="118" customWidth="1"/>
    <col min="12297" max="12297" width="51.5703125" style="118" customWidth="1"/>
    <col min="12298" max="12545" width="9.140625" style="118"/>
    <col min="12546" max="12546" width="8.28515625" style="118" customWidth="1"/>
    <col min="12547" max="12547" width="10.5703125" style="118" customWidth="1"/>
    <col min="12548" max="12548" width="15.140625" style="118" customWidth="1"/>
    <col min="12549" max="12550" width="12" style="118" customWidth="1"/>
    <col min="12551" max="12552" width="13.85546875" style="118" customWidth="1"/>
    <col min="12553" max="12553" width="51.5703125" style="118" customWidth="1"/>
    <col min="12554" max="12801" width="9.140625" style="118"/>
    <col min="12802" max="12802" width="8.28515625" style="118" customWidth="1"/>
    <col min="12803" max="12803" width="10.5703125" style="118" customWidth="1"/>
    <col min="12804" max="12804" width="15.140625" style="118" customWidth="1"/>
    <col min="12805" max="12806" width="12" style="118" customWidth="1"/>
    <col min="12807" max="12808" width="13.85546875" style="118" customWidth="1"/>
    <col min="12809" max="12809" width="51.5703125" style="118" customWidth="1"/>
    <col min="12810" max="13057" width="9.140625" style="118"/>
    <col min="13058" max="13058" width="8.28515625" style="118" customWidth="1"/>
    <col min="13059" max="13059" width="10.5703125" style="118" customWidth="1"/>
    <col min="13060" max="13060" width="15.140625" style="118" customWidth="1"/>
    <col min="13061" max="13062" width="12" style="118" customWidth="1"/>
    <col min="13063" max="13064" width="13.85546875" style="118" customWidth="1"/>
    <col min="13065" max="13065" width="51.5703125" style="118" customWidth="1"/>
    <col min="13066" max="13313" width="9.140625" style="118"/>
    <col min="13314" max="13314" width="8.28515625" style="118" customWidth="1"/>
    <col min="13315" max="13315" width="10.5703125" style="118" customWidth="1"/>
    <col min="13316" max="13316" width="15.140625" style="118" customWidth="1"/>
    <col min="13317" max="13318" width="12" style="118" customWidth="1"/>
    <col min="13319" max="13320" width="13.85546875" style="118" customWidth="1"/>
    <col min="13321" max="13321" width="51.5703125" style="118" customWidth="1"/>
    <col min="13322" max="13569" width="9.140625" style="118"/>
    <col min="13570" max="13570" width="8.28515625" style="118" customWidth="1"/>
    <col min="13571" max="13571" width="10.5703125" style="118" customWidth="1"/>
    <col min="13572" max="13572" width="15.140625" style="118" customWidth="1"/>
    <col min="13573" max="13574" width="12" style="118" customWidth="1"/>
    <col min="13575" max="13576" width="13.85546875" style="118" customWidth="1"/>
    <col min="13577" max="13577" width="51.5703125" style="118" customWidth="1"/>
    <col min="13578" max="13825" width="9.140625" style="118"/>
    <col min="13826" max="13826" width="8.28515625" style="118" customWidth="1"/>
    <col min="13827" max="13827" width="10.5703125" style="118" customWidth="1"/>
    <col min="13828" max="13828" width="15.140625" style="118" customWidth="1"/>
    <col min="13829" max="13830" width="12" style="118" customWidth="1"/>
    <col min="13831" max="13832" width="13.85546875" style="118" customWidth="1"/>
    <col min="13833" max="13833" width="51.5703125" style="118" customWidth="1"/>
    <col min="13834" max="14081" width="9.140625" style="118"/>
    <col min="14082" max="14082" width="8.28515625" style="118" customWidth="1"/>
    <col min="14083" max="14083" width="10.5703125" style="118" customWidth="1"/>
    <col min="14084" max="14084" width="15.140625" style="118" customWidth="1"/>
    <col min="14085" max="14086" width="12" style="118" customWidth="1"/>
    <col min="14087" max="14088" width="13.85546875" style="118" customWidth="1"/>
    <col min="14089" max="14089" width="51.5703125" style="118" customWidth="1"/>
    <col min="14090" max="14337" width="9.140625" style="118"/>
    <col min="14338" max="14338" width="8.28515625" style="118" customWidth="1"/>
    <col min="14339" max="14339" width="10.5703125" style="118" customWidth="1"/>
    <col min="14340" max="14340" width="15.140625" style="118" customWidth="1"/>
    <col min="14341" max="14342" width="12" style="118" customWidth="1"/>
    <col min="14343" max="14344" width="13.85546875" style="118" customWidth="1"/>
    <col min="14345" max="14345" width="51.5703125" style="118" customWidth="1"/>
    <col min="14346" max="14593" width="9.140625" style="118"/>
    <col min="14594" max="14594" width="8.28515625" style="118" customWidth="1"/>
    <col min="14595" max="14595" width="10.5703125" style="118" customWidth="1"/>
    <col min="14596" max="14596" width="15.140625" style="118" customWidth="1"/>
    <col min="14597" max="14598" width="12" style="118" customWidth="1"/>
    <col min="14599" max="14600" width="13.85546875" style="118" customWidth="1"/>
    <col min="14601" max="14601" width="51.5703125" style="118" customWidth="1"/>
    <col min="14602" max="14849" width="9.140625" style="118"/>
    <col min="14850" max="14850" width="8.28515625" style="118" customWidth="1"/>
    <col min="14851" max="14851" width="10.5703125" style="118" customWidth="1"/>
    <col min="14852" max="14852" width="15.140625" style="118" customWidth="1"/>
    <col min="14853" max="14854" width="12" style="118" customWidth="1"/>
    <col min="14855" max="14856" width="13.85546875" style="118" customWidth="1"/>
    <col min="14857" max="14857" width="51.5703125" style="118" customWidth="1"/>
    <col min="14858" max="15105" width="9.140625" style="118"/>
    <col min="15106" max="15106" width="8.28515625" style="118" customWidth="1"/>
    <col min="15107" max="15107" width="10.5703125" style="118" customWidth="1"/>
    <col min="15108" max="15108" width="15.140625" style="118" customWidth="1"/>
    <col min="15109" max="15110" width="12" style="118" customWidth="1"/>
    <col min="15111" max="15112" width="13.85546875" style="118" customWidth="1"/>
    <col min="15113" max="15113" width="51.5703125" style="118" customWidth="1"/>
    <col min="15114" max="15361" width="9.140625" style="118"/>
    <col min="15362" max="15362" width="8.28515625" style="118" customWidth="1"/>
    <col min="15363" max="15363" width="10.5703125" style="118" customWidth="1"/>
    <col min="15364" max="15364" width="15.140625" style="118" customWidth="1"/>
    <col min="15365" max="15366" width="12" style="118" customWidth="1"/>
    <col min="15367" max="15368" width="13.85546875" style="118" customWidth="1"/>
    <col min="15369" max="15369" width="51.5703125" style="118" customWidth="1"/>
    <col min="15370" max="15617" width="9.140625" style="118"/>
    <col min="15618" max="15618" width="8.28515625" style="118" customWidth="1"/>
    <col min="15619" max="15619" width="10.5703125" style="118" customWidth="1"/>
    <col min="15620" max="15620" width="15.140625" style="118" customWidth="1"/>
    <col min="15621" max="15622" width="12" style="118" customWidth="1"/>
    <col min="15623" max="15624" width="13.85546875" style="118" customWidth="1"/>
    <col min="15625" max="15625" width="51.5703125" style="118" customWidth="1"/>
    <col min="15626" max="15873" width="9.140625" style="118"/>
    <col min="15874" max="15874" width="8.28515625" style="118" customWidth="1"/>
    <col min="15875" max="15875" width="10.5703125" style="118" customWidth="1"/>
    <col min="15876" max="15876" width="15.140625" style="118" customWidth="1"/>
    <col min="15877" max="15878" width="12" style="118" customWidth="1"/>
    <col min="15879" max="15880" width="13.85546875" style="118" customWidth="1"/>
    <col min="15881" max="15881" width="51.5703125" style="118" customWidth="1"/>
    <col min="15882" max="16129" width="9.140625" style="118"/>
    <col min="16130" max="16130" width="8.28515625" style="118" customWidth="1"/>
    <col min="16131" max="16131" width="10.5703125" style="118" customWidth="1"/>
    <col min="16132" max="16132" width="15.140625" style="118" customWidth="1"/>
    <col min="16133" max="16134" width="12" style="118" customWidth="1"/>
    <col min="16135" max="16136" width="13.85546875" style="118" customWidth="1"/>
    <col min="16137" max="16137" width="51.5703125" style="118" customWidth="1"/>
    <col min="16138" max="16384" width="9.140625" style="118"/>
  </cols>
  <sheetData>
    <row r="1" spans="1:9" ht="56.25" customHeight="1">
      <c r="A1" s="1"/>
      <c r="B1" s="1"/>
      <c r="C1" s="194" t="s">
        <v>271</v>
      </c>
      <c r="D1" s="194"/>
      <c r="E1" s="195"/>
      <c r="F1" s="195"/>
      <c r="G1" s="195"/>
      <c r="H1" s="3983" t="s">
        <v>1456</v>
      </c>
      <c r="I1" s="3983"/>
    </row>
    <row r="2" spans="1:9" ht="45" customHeight="1">
      <c r="A2" s="4099" t="s">
        <v>272</v>
      </c>
      <c r="B2" s="4099"/>
      <c r="C2" s="4099"/>
      <c r="D2" s="4099"/>
      <c r="E2" s="4099"/>
      <c r="F2" s="4099"/>
      <c r="G2" s="4099"/>
      <c r="H2" s="4099"/>
      <c r="I2" s="4099"/>
    </row>
    <row r="3" spans="1:9" ht="15.75" thickBot="1">
      <c r="A3" s="117"/>
      <c r="B3" s="117"/>
      <c r="C3" s="117"/>
      <c r="D3" s="117"/>
      <c r="E3" s="117"/>
      <c r="F3" s="117"/>
      <c r="G3" s="117"/>
      <c r="H3" s="117"/>
      <c r="I3" s="197" t="s">
        <v>5</v>
      </c>
    </row>
    <row r="4" spans="1:9" ht="15.75" thickBot="1">
      <c r="A4" s="4100" t="s">
        <v>0</v>
      </c>
      <c r="B4" s="4100" t="s">
        <v>30</v>
      </c>
      <c r="C4" s="4104" t="s">
        <v>31</v>
      </c>
      <c r="D4" s="4101" t="s">
        <v>2</v>
      </c>
      <c r="E4" s="4106" t="s">
        <v>76</v>
      </c>
      <c r="F4" s="4108" t="s">
        <v>129</v>
      </c>
      <c r="G4" s="4106"/>
      <c r="H4" s="4106" t="s">
        <v>130</v>
      </c>
      <c r="I4" s="4100" t="s">
        <v>131</v>
      </c>
    </row>
    <row r="5" spans="1:9" ht="15.75" customHeight="1" thickBot="1">
      <c r="A5" s="4100"/>
      <c r="B5" s="4100"/>
      <c r="C5" s="4104"/>
      <c r="D5" s="4120"/>
      <c r="E5" s="4106"/>
      <c r="F5" s="4108" t="s">
        <v>132</v>
      </c>
      <c r="G5" s="4106" t="s">
        <v>88</v>
      </c>
      <c r="H5" s="4106"/>
      <c r="I5" s="4100"/>
    </row>
    <row r="6" spans="1:9" ht="15.75" customHeight="1" thickBot="1">
      <c r="A6" s="4100"/>
      <c r="B6" s="4100"/>
      <c r="C6" s="4104"/>
      <c r="D6" s="4121"/>
      <c r="E6" s="4106"/>
      <c r="F6" s="4108"/>
      <c r="G6" s="4106"/>
      <c r="H6" s="4106"/>
      <c r="I6" s="4100"/>
    </row>
    <row r="7" spans="1:9" ht="33.75" customHeight="1" thickBot="1">
      <c r="A7" s="4064" t="s">
        <v>33</v>
      </c>
      <c r="B7" s="4115" t="s">
        <v>8</v>
      </c>
      <c r="C7" s="4116"/>
      <c r="D7" s="4117"/>
      <c r="E7" s="3139">
        <f>SUM(F7:G7)</f>
        <v>250000</v>
      </c>
      <c r="F7" s="3143">
        <f>SUM(F8)</f>
        <v>0</v>
      </c>
      <c r="G7" s="3143">
        <f>SUM(G8)</f>
        <v>250000</v>
      </c>
      <c r="H7" s="3137"/>
      <c r="I7" s="3138"/>
    </row>
    <row r="8" spans="1:9" ht="60" customHeight="1" thickBot="1">
      <c r="A8" s="4065"/>
      <c r="B8" s="3148">
        <v>60013</v>
      </c>
      <c r="C8" s="3149" t="s">
        <v>410</v>
      </c>
      <c r="D8" s="3150">
        <v>6610</v>
      </c>
      <c r="E8" s="3151">
        <f>SUM(F8:G8)</f>
        <v>250000</v>
      </c>
      <c r="F8" s="3152">
        <v>0</v>
      </c>
      <c r="G8" s="3152">
        <v>250000</v>
      </c>
      <c r="H8" s="3152" t="s">
        <v>1442</v>
      </c>
      <c r="I8" s="3153" t="s">
        <v>1443</v>
      </c>
    </row>
    <row r="9" spans="1:9" ht="33.75" customHeight="1" thickBot="1">
      <c r="A9" s="4073" t="s">
        <v>40</v>
      </c>
      <c r="B9" s="4112" t="s">
        <v>4</v>
      </c>
      <c r="C9" s="4113"/>
      <c r="D9" s="4114"/>
      <c r="E9" s="3144">
        <f>SUM(F9:G9)</f>
        <v>299800</v>
      </c>
      <c r="F9" s="3145">
        <f>SUM(F10)</f>
        <v>299800</v>
      </c>
      <c r="G9" s="3145">
        <f>SUM(G10)</f>
        <v>0</v>
      </c>
      <c r="H9" s="3146"/>
      <c r="I9" s="3147"/>
    </row>
    <row r="10" spans="1:9" ht="106.5" customHeight="1" thickBot="1">
      <c r="A10" s="4065"/>
      <c r="B10" s="3141" t="s">
        <v>273</v>
      </c>
      <c r="C10" s="3133" t="s">
        <v>274</v>
      </c>
      <c r="D10" s="3142" t="s">
        <v>275</v>
      </c>
      <c r="E10" s="3140">
        <f>SUM(F10:G10)</f>
        <v>299800</v>
      </c>
      <c r="F10" s="3134">
        <v>299800</v>
      </c>
      <c r="G10" s="3134">
        <v>0</v>
      </c>
      <c r="H10" s="3135" t="s">
        <v>276</v>
      </c>
      <c r="I10" s="3136" t="s">
        <v>277</v>
      </c>
    </row>
    <row r="11" spans="1:9" ht="23.25" customHeight="1" thickBot="1">
      <c r="A11" s="4118" t="s">
        <v>68</v>
      </c>
      <c r="B11" s="4118"/>
      <c r="C11" s="4119"/>
      <c r="D11" s="422"/>
      <c r="E11" s="423">
        <f>SUM(E7,E9)</f>
        <v>549800</v>
      </c>
      <c r="F11" s="423">
        <f>SUM(F7,F9)</f>
        <v>299800</v>
      </c>
      <c r="G11" s="423">
        <f>SUM(G7,G9)</f>
        <v>250000</v>
      </c>
      <c r="H11" s="246"/>
      <c r="I11" s="425"/>
    </row>
    <row r="25" spans="5:5">
      <c r="E25" s="204"/>
    </row>
    <row r="536" spans="17:17">
      <c r="Q536" s="118">
        <f>P536-O536</f>
        <v>0</v>
      </c>
    </row>
  </sheetData>
  <mergeCells count="17"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  <mergeCell ref="F5:F6"/>
    <mergeCell ref="G5:G6"/>
    <mergeCell ref="B9:D9"/>
    <mergeCell ref="A9:A10"/>
    <mergeCell ref="A7:A8"/>
    <mergeCell ref="B7:D7"/>
    <mergeCell ref="A11:C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24</vt:i4>
      </vt:variant>
    </vt:vector>
  </HeadingPairs>
  <TitlesOfParts>
    <vt:vector size="41" baseType="lpstr">
      <vt:lpstr>dochody</vt:lpstr>
      <vt:lpstr>wydatki</vt:lpstr>
      <vt:lpstr>Tabela nr 3</vt:lpstr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  <vt:lpstr> Załącznik Nr 8</vt:lpstr>
      <vt:lpstr>Załącznik Nr 9</vt:lpstr>
      <vt:lpstr> Załącznik Nr 10</vt:lpstr>
      <vt:lpstr>Zał Nr 11 adm.rząd.doch.</vt:lpstr>
      <vt:lpstr>Zał Nr 11 adm.rzad.wyd.</vt:lpstr>
      <vt:lpstr>Zał Nr 12</vt:lpstr>
      <vt:lpstr>Załącznik Nr 13</vt:lpstr>
      <vt:lpstr>' Załącznik Nr 10'!Obszar_wydruku</vt:lpstr>
      <vt:lpstr>' Załącznik Nr 8'!Obszar_wydruku</vt:lpstr>
      <vt:lpstr>dochody!Obszar_wydruku</vt:lpstr>
      <vt:lpstr>'Tabela nr 3'!Obszar_wydruku</vt:lpstr>
      <vt:lpstr>wydatki!Obszar_wydruku</vt:lpstr>
      <vt:lpstr>'Zał Nr 11 adm.rzad.wyd.'!Obszar_wydruku</vt:lpstr>
      <vt:lpstr>'Zał Nr 11 adm.rząd.doch.'!Obszar_wydruku</vt:lpstr>
      <vt:lpstr>'Zał Nr 12'!Obszar_wydruku</vt:lpstr>
      <vt:lpstr>'Załącznik Nr 1'!Obszar_wydruku</vt:lpstr>
      <vt:lpstr>'Załącznik Nr 13'!Obszar_wydruku</vt:lpstr>
      <vt:lpstr>'Załącznik Nr 2'!Obszar_wydruku</vt:lpstr>
      <vt:lpstr>'Załącznik Nr 3'!Obszar_wydruku</vt:lpstr>
      <vt:lpstr>'Załącznik Nr 4'!Obszar_wydruku</vt:lpstr>
      <vt:lpstr>'Załącznik Nr 5'!Obszar_wydruku</vt:lpstr>
      <vt:lpstr>'Załącznik Nr 6'!Obszar_wydruku</vt:lpstr>
      <vt:lpstr>'Załącznik Nr 7'!Obszar_wydruku</vt:lpstr>
      <vt:lpstr>'Załącznik Nr 9'!Obszar_wydruku</vt:lpstr>
      <vt:lpstr>dochody!Tytuły_wydruku</vt:lpstr>
      <vt:lpstr>'Tabela nr 3'!Tytuły_wydruku</vt:lpstr>
      <vt:lpstr>wydatki!Tytuły_wydruku</vt:lpstr>
      <vt:lpstr>'Zał Nr 11 adm.rzad.wyd.'!Tytuły_wydruku</vt:lpstr>
      <vt:lpstr>'Załącznik Nr 2'!Tytuły_wydruku</vt:lpstr>
      <vt:lpstr>'Załącznik Nr 3'!Tytuły_wydruku</vt:lpstr>
      <vt:lpstr>'Załącznik Nr 5'!Tytuły_wydruku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2021-12-30T06:44:20Z</dcterms:modified>
</cp:coreProperties>
</file>